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Denne_projektmappe"/>
  <mc:AlternateContent xmlns:mc="http://schemas.openxmlformats.org/markup-compatibility/2006">
    <mc:Choice Requires="x15">
      <x15ac:absPath xmlns:x15ac="http://schemas.microsoft.com/office/spreadsheetml/2010/11/ac" url="http://tsdoc01:30969/sites/TeamShare.1.Produktion.c4337f31-7ad6-4057-af78-e4190dbb5a05/section_15/59259/201-133811/Opd-176111/"/>
    </mc:Choice>
  </mc:AlternateContent>
  <xr:revisionPtr revIDLastSave="0" documentId="13_ncr:1_{583CA0F8-1F75-4DDA-A2C6-127BEAFA4266}" xr6:coauthVersionLast="47" xr6:coauthVersionMax="47" xr10:uidLastSave="{00000000-0000-0000-0000-000000000000}"/>
  <workbookProtection workbookAlgorithmName="SHA-512" workbookHashValue="ixxylnIlTGEFUvof6ZHhs3gAj8N0KXJFCX5mZ3Zru+qIJtMefSsLT/iEcVuFA76L9gpz2vw7g93oomflRyVuRA==" workbookSaltValue="YUl7EgZwMMEqjS6F0QiWqg==" workbookSpinCount="100000" lockStructure="1"/>
  <bookViews>
    <workbookView xWindow="28680" yWindow="-120" windowWidth="29040" windowHeight="17520" activeTab="1" xr2:uid="{00000000-000D-0000-FFFF-FFFF00000000}"/>
  </bookViews>
  <sheets>
    <sheet name="Vejledning" sheetId="6" r:id="rId1"/>
    <sheet name="TCO-model, flextrafik" sheetId="1" r:id="rId2"/>
    <sheet name="LISTE" sheetId="5" state="hidden" r:id="rId3"/>
  </sheets>
  <definedNames>
    <definedName name="AmpMat1">LISTE!$A$16:$F$22</definedName>
    <definedName name="AmpMat2">LISTE!$A$27:$F$33</definedName>
    <definedName name="Budgetposter">#REF!</definedName>
    <definedName name="kW">LISTE!$A$4:$A$10</definedName>
    <definedName name="Lader">LISTE!$B$4:$D$10</definedName>
    <definedName name="LadMat1">LISTE!$A$15:$F$15</definedName>
    <definedName name="LadMat2">LISTE!$A$26:$F$26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2" i="1" l="1"/>
  <c r="S122" i="1"/>
  <c r="AA211" i="1"/>
  <c r="AA213" i="1" s="1"/>
  <c r="U211" i="1"/>
  <c r="U213" i="1" s="1"/>
  <c r="N211" i="1"/>
  <c r="N213" i="1" s="1"/>
  <c r="H211" i="1"/>
  <c r="H213" i="1" s="1"/>
  <c r="S130" i="1" l="1"/>
  <c r="U130" i="1" s="1"/>
  <c r="C12" i="5"/>
  <c r="F130" i="1"/>
  <c r="H130" i="1" s="1"/>
  <c r="G22" i="5"/>
  <c r="E22" i="5"/>
  <c r="G21" i="5"/>
  <c r="E21" i="5"/>
  <c r="G20" i="5"/>
  <c r="G19" i="5"/>
  <c r="G18" i="5"/>
  <c r="G17" i="5"/>
  <c r="G16" i="5"/>
  <c r="E33" i="5"/>
  <c r="E32" i="5"/>
  <c r="S66" i="1"/>
  <c r="F66" i="1"/>
  <c r="H118" i="1" l="1"/>
  <c r="H116" i="1"/>
  <c r="H15" i="1"/>
  <c r="AA54" i="1"/>
  <c r="AA52" i="1"/>
  <c r="AA34" i="1"/>
  <c r="AA30" i="1"/>
  <c r="AA28" i="1"/>
  <c r="AA26" i="1"/>
  <c r="AA24" i="1"/>
  <c r="AA206" i="1"/>
  <c r="AA204" i="1"/>
  <c r="AA172" i="1"/>
  <c r="AA170" i="1"/>
  <c r="AA168" i="1"/>
  <c r="U54" i="1"/>
  <c r="U52" i="1"/>
  <c r="N34" i="1"/>
  <c r="N30" i="1"/>
  <c r="N28" i="1"/>
  <c r="N26" i="1"/>
  <c r="N24" i="1"/>
  <c r="U206" i="1"/>
  <c r="U204" i="1"/>
  <c r="AA181" i="1"/>
  <c r="AA179" i="1"/>
  <c r="AA192" i="1"/>
  <c r="AA188" i="1"/>
  <c r="AA199" i="1"/>
  <c r="AA197" i="1"/>
  <c r="U192" i="1"/>
  <c r="U188" i="1"/>
  <c r="U181" i="1"/>
  <c r="U179" i="1"/>
  <c r="U172" i="1"/>
  <c r="U170" i="1"/>
  <c r="U168" i="1"/>
  <c r="U163" i="1"/>
  <c r="AA145" i="1"/>
  <c r="AA143" i="1"/>
  <c r="U64" i="1"/>
  <c r="U62" i="1"/>
  <c r="AA56" i="1"/>
  <c r="N54" i="1"/>
  <c r="N52" i="1"/>
  <c r="AA43" i="1"/>
  <c r="U39" i="1"/>
  <c r="U34" i="1"/>
  <c r="U30" i="1"/>
  <c r="U28" i="1"/>
  <c r="U26" i="1"/>
  <c r="U24" i="1"/>
  <c r="U22" i="1"/>
  <c r="U17" i="1"/>
  <c r="U15" i="1"/>
  <c r="U7" i="1"/>
  <c r="U230" i="1"/>
  <c r="U226" i="1"/>
  <c r="U222" i="1"/>
  <c r="N206" i="1"/>
  <c r="N204" i="1"/>
  <c r="N199" i="1"/>
  <c r="N197" i="1"/>
  <c r="N192" i="1"/>
  <c r="N188" i="1"/>
  <c r="N181" i="1"/>
  <c r="N179" i="1"/>
  <c r="N172" i="1"/>
  <c r="N170" i="1"/>
  <c r="N168" i="1"/>
  <c r="H163" i="1"/>
  <c r="AA156" i="1"/>
  <c r="AA154" i="1"/>
  <c r="U145" i="1"/>
  <c r="U143" i="1"/>
  <c r="U118" i="1"/>
  <c r="U116" i="1"/>
  <c r="U108" i="1"/>
  <c r="U104" i="1"/>
  <c r="U97" i="1"/>
  <c r="U91" i="1"/>
  <c r="U89" i="1"/>
  <c r="U82" i="1"/>
  <c r="U78" i="1"/>
  <c r="U80" i="1" s="1"/>
  <c r="U72" i="1"/>
  <c r="U70" i="1"/>
  <c r="H64" i="1"/>
  <c r="H62" i="1"/>
  <c r="N56" i="1"/>
  <c r="H54" i="1"/>
  <c r="H52" i="1"/>
  <c r="U47" i="1"/>
  <c r="N43" i="1"/>
  <c r="H39" i="1"/>
  <c r="H34" i="1"/>
  <c r="H30" i="1"/>
  <c r="H28" i="1"/>
  <c r="H26" i="1"/>
  <c r="H24" i="1"/>
  <c r="H22" i="1"/>
  <c r="H17" i="1"/>
  <c r="H7" i="1"/>
  <c r="H230" i="1"/>
  <c r="H226" i="1"/>
  <c r="H222" i="1"/>
  <c r="H206" i="1"/>
  <c r="H204" i="1"/>
  <c r="H192" i="1"/>
  <c r="H188" i="1"/>
  <c r="H181" i="1"/>
  <c r="H179" i="1"/>
  <c r="H172" i="1"/>
  <c r="H170" i="1"/>
  <c r="H168" i="1"/>
  <c r="N156" i="1"/>
  <c r="N154" i="1"/>
  <c r="N145" i="1"/>
  <c r="N143" i="1"/>
  <c r="H108" i="1"/>
  <c r="H97" i="1"/>
  <c r="H91" i="1"/>
  <c r="H89" i="1"/>
  <c r="H82" i="1"/>
  <c r="H78" i="1"/>
  <c r="U74" i="1"/>
  <c r="H74" i="1"/>
  <c r="H72" i="1"/>
  <c r="H70" i="1"/>
  <c r="U66" i="1"/>
  <c r="H66" i="1"/>
  <c r="U68" i="1" l="1"/>
  <c r="U76" i="1" s="1"/>
  <c r="AA58" i="1"/>
  <c r="U165" i="1"/>
  <c r="U58" i="1"/>
  <c r="S126" i="1"/>
  <c r="G33" i="5"/>
  <c r="G32" i="5"/>
  <c r="G31" i="5"/>
  <c r="G30" i="5"/>
  <c r="A30" i="5" s="1"/>
  <c r="G29" i="5"/>
  <c r="G28" i="5"/>
  <c r="G27" i="5"/>
  <c r="H136" i="1"/>
  <c r="U136" i="1"/>
  <c r="U122" i="1"/>
  <c r="U120" i="1"/>
  <c r="S128" i="1" s="1"/>
  <c r="H122" i="1"/>
  <c r="H124" i="1" s="1"/>
  <c r="H120" i="1"/>
  <c r="F128" i="1" s="1"/>
  <c r="U216" i="1"/>
  <c r="U84" i="1"/>
  <c r="U11" i="1"/>
  <c r="U49" i="1" s="1"/>
  <c r="U5" i="1"/>
  <c r="U106" i="1" s="1"/>
  <c r="H216" i="1"/>
  <c r="U86" i="1" l="1"/>
  <c r="F126" i="1"/>
  <c r="H126" i="1" s="1"/>
  <c r="S218" i="1"/>
  <c r="U218" i="1" s="1"/>
  <c r="U220" i="1" s="1"/>
  <c r="U224" i="1" s="1"/>
  <c r="N208" i="1"/>
  <c r="N201" i="1"/>
  <c r="N58" i="1"/>
  <c r="U208" i="1"/>
  <c r="AA208" i="1"/>
  <c r="AA201" i="1"/>
  <c r="A32" i="5"/>
  <c r="A31" i="5"/>
  <c r="A29" i="5"/>
  <c r="A28" i="5"/>
  <c r="U126" i="1"/>
  <c r="A27" i="5"/>
  <c r="A33" i="5"/>
  <c r="A16" i="5"/>
  <c r="A19" i="5"/>
  <c r="A21" i="5"/>
  <c r="A20" i="5"/>
  <c r="A22" i="5"/>
  <c r="A17" i="5"/>
  <c r="A18" i="5"/>
  <c r="U124" i="1"/>
  <c r="U228" i="1"/>
  <c r="U9" i="1"/>
  <c r="U41" i="1" s="1"/>
  <c r="U93" i="1"/>
  <c r="AA32" i="1"/>
  <c r="AA36" i="1" s="1"/>
  <c r="U32" i="1"/>
  <c r="U36" i="1" s="1"/>
  <c r="N32" i="1"/>
  <c r="N36" i="1" s="1"/>
  <c r="H128" i="1" l="1"/>
  <c r="U128" i="1"/>
  <c r="U132" i="1" s="1"/>
  <c r="U149" i="1"/>
  <c r="U151" i="1" s="1"/>
  <c r="U13" i="1"/>
  <c r="AA45" i="1"/>
  <c r="S235" i="1" s="1"/>
  <c r="AA190" i="1"/>
  <c r="AA194" i="1" s="1"/>
  <c r="AA183" i="1"/>
  <c r="AA185" i="1" s="1"/>
  <c r="AA174" i="1"/>
  <c r="AA176" i="1" s="1"/>
  <c r="U174" i="1"/>
  <c r="U176" i="1" s="1"/>
  <c r="U183" i="1"/>
  <c r="U185" i="1" s="1"/>
  <c r="U190" i="1"/>
  <c r="U194" i="1" s="1"/>
  <c r="H132" i="1" l="1"/>
  <c r="H134" i="1" s="1"/>
  <c r="H138" i="1" s="1"/>
  <c r="H140" i="1" s="1"/>
  <c r="U134" i="1"/>
  <c r="U235" i="1"/>
  <c r="U138" i="1" l="1"/>
  <c r="U140" i="1" s="1"/>
  <c r="F104" i="1"/>
  <c r="H104" i="1" s="1"/>
  <c r="H58" i="1"/>
  <c r="H80" i="1"/>
  <c r="H84" i="1"/>
  <c r="H165" i="1"/>
  <c r="H208" i="1"/>
  <c r="H11" i="1"/>
  <c r="U232" i="1" l="1"/>
  <c r="H228" i="1"/>
  <c r="H232" i="1" s="1"/>
  <c r="H32" i="1"/>
  <c r="H36" i="1" s="1"/>
  <c r="H5" i="1"/>
  <c r="H68" i="1"/>
  <c r="H76" i="1" s="1"/>
  <c r="H86" i="1" s="1"/>
  <c r="H106" i="1" l="1"/>
  <c r="H93" i="1"/>
  <c r="H102" i="1" s="1"/>
  <c r="H9" i="1"/>
  <c r="F218" i="1" l="1"/>
  <c r="H218" i="1" s="1"/>
  <c r="H220" i="1" s="1"/>
  <c r="H224" i="1" s="1"/>
  <c r="H190" i="1"/>
  <c r="H194" i="1" s="1"/>
  <c r="H183" i="1"/>
  <c r="H185" i="1" s="1"/>
  <c r="N45" i="1"/>
  <c r="F235" i="1" s="1"/>
  <c r="H235" i="1" s="1"/>
  <c r="H249" i="1" s="1"/>
  <c r="H174" i="1"/>
  <c r="H176" i="1" s="1"/>
  <c r="N174" i="1"/>
  <c r="N176" i="1" s="1"/>
  <c r="N183" i="1"/>
  <c r="N185" i="1" s="1"/>
  <c r="N190" i="1"/>
  <c r="N194" i="1" s="1"/>
  <c r="U102" i="1"/>
  <c r="U110" i="1" s="1"/>
  <c r="U112" i="1" s="1"/>
  <c r="U95" i="1"/>
  <c r="U99" i="1" s="1"/>
  <c r="H13" i="1"/>
  <c r="H41" i="1"/>
  <c r="H95" i="1" s="1"/>
  <c r="H99" i="1" s="1"/>
  <c r="U238" i="1" l="1"/>
  <c r="H245" i="1"/>
  <c r="N158" i="1"/>
  <c r="N160" i="1" s="1"/>
  <c r="AA147" i="1"/>
  <c r="AA151" i="1" s="1"/>
  <c r="AA158" i="1"/>
  <c r="AA160" i="1" s="1"/>
  <c r="N147" i="1"/>
  <c r="N151" i="1" s="1"/>
  <c r="N238" i="1" s="1"/>
  <c r="H110" i="1"/>
  <c r="H112" i="1" s="1"/>
  <c r="H238" i="1" s="1"/>
  <c r="AA238" i="1" l="1"/>
  <c r="U240" i="1" s="1"/>
  <c r="H240" i="1"/>
  <c r="H243" i="1" l="1"/>
  <c r="H247" i="1" s="1"/>
  <c r="H251" i="1" l="1"/>
</calcChain>
</file>

<file path=xl/sharedStrings.xml><?xml version="1.0" encoding="utf-8"?>
<sst xmlns="http://schemas.openxmlformats.org/spreadsheetml/2006/main" count="300" uniqueCount="184">
  <si>
    <t>%</t>
  </si>
  <si>
    <t>kr./år</t>
  </si>
  <si>
    <t>km</t>
  </si>
  <si>
    <t>stk.</t>
  </si>
  <si>
    <t>DÆK</t>
  </si>
  <si>
    <t>DRIVMIDDEL</t>
  </si>
  <si>
    <t>kr./l</t>
  </si>
  <si>
    <t>kr./kWh</t>
  </si>
  <si>
    <t>AdBlue</t>
  </si>
  <si>
    <t>l/år</t>
  </si>
  <si>
    <t>ADDITIV</t>
  </si>
  <si>
    <t>el, forbrug</t>
  </si>
  <si>
    <t>kWh/km</t>
  </si>
  <si>
    <t>EL</t>
  </si>
  <si>
    <t>DIESEL</t>
  </si>
  <si>
    <t>SERVICE</t>
  </si>
  <si>
    <t>kr./stk.</t>
  </si>
  <si>
    <t>service</t>
  </si>
  <si>
    <t>AdBlueforbrug af dieselforbrug (km/l)</t>
  </si>
  <si>
    <t>SAMLET</t>
  </si>
  <si>
    <t>km/t</t>
  </si>
  <si>
    <t>l/time</t>
  </si>
  <si>
    <t>km/år</t>
  </si>
  <si>
    <t>A</t>
  </si>
  <si>
    <t>restværdi</t>
  </si>
  <si>
    <t>forsikring</t>
  </si>
  <si>
    <t>BILMATERIEL</t>
  </si>
  <si>
    <t>ladeboks</t>
  </si>
  <si>
    <t>tilslutningsafgift</t>
  </si>
  <si>
    <t>elinstallation</t>
  </si>
  <si>
    <t>NATLADNING</t>
  </si>
  <si>
    <t>LADNING PÅ FARTEN</t>
  </si>
  <si>
    <t>ejerafgift</t>
  </si>
  <si>
    <t>udligningsafgift</t>
  </si>
  <si>
    <t>andel af ladning</t>
  </si>
  <si>
    <t>ydelse</t>
  </si>
  <si>
    <t>abonnement, refussion</t>
  </si>
  <si>
    <t>p-plads, leje</t>
  </si>
  <si>
    <t>kr./mdr</t>
  </si>
  <si>
    <t>rente, ladeanlæg</t>
  </si>
  <si>
    <t>afskrivning, ladeanlæg</t>
  </si>
  <si>
    <t>afskrivning, bilkøb</t>
  </si>
  <si>
    <t>rente, bilkøb</t>
  </si>
  <si>
    <t>diesel, rabat</t>
  </si>
  <si>
    <t>bremser levetid</t>
  </si>
  <si>
    <t>år</t>
  </si>
  <si>
    <t>købspris (ekskl. afgift, inkl. moms)</t>
  </si>
  <si>
    <t>kr.</t>
  </si>
  <si>
    <t>%/år</t>
  </si>
  <si>
    <t>omkostning, bilmateriel</t>
  </si>
  <si>
    <t>kr./A</t>
  </si>
  <si>
    <t>ampere</t>
  </si>
  <si>
    <t>kr./mdr.</t>
  </si>
  <si>
    <t>ladetab</t>
  </si>
  <si>
    <t xml:space="preserve">el, pris </t>
  </si>
  <si>
    <t>refussion</t>
  </si>
  <si>
    <t>el,forbrug natopladning</t>
  </si>
  <si>
    <t>FORBRUG</t>
  </si>
  <si>
    <t>el, fremdrift</t>
  </si>
  <si>
    <t>diesel, fremdrift</t>
  </si>
  <si>
    <t>diesel, kabineopvarmning</t>
  </si>
  <si>
    <t>timer/år</t>
  </si>
  <si>
    <t>GARAGEANLÆG</t>
  </si>
  <si>
    <t>omkostning, garageanlæg</t>
  </si>
  <si>
    <t>AFGIFTER OG FORSIKRIING</t>
  </si>
  <si>
    <t>omkostninger, afgifter + forsikring</t>
  </si>
  <si>
    <t>omkostning, natladning</t>
  </si>
  <si>
    <t>omkostning, ladning på farten</t>
  </si>
  <si>
    <t>diesel, pris</t>
  </si>
  <si>
    <t>diesel, omkostning fremdrift</t>
  </si>
  <si>
    <t>diesel, omkostning kabineopvarmning</t>
  </si>
  <si>
    <t>omkostning, diesel</t>
  </si>
  <si>
    <t>omkostning, AdBlue</t>
  </si>
  <si>
    <t>dæk/bil</t>
  </si>
  <si>
    <t>dækforbrug</t>
  </si>
  <si>
    <t xml:space="preserve">omkostning, dæk  </t>
  </si>
  <si>
    <t xml:space="preserve">omkostning, service </t>
  </si>
  <si>
    <t>km/service</t>
  </si>
  <si>
    <t>kr./service</t>
  </si>
  <si>
    <t>REPARATIONER</t>
  </si>
  <si>
    <t>reparationer</t>
  </si>
  <si>
    <t xml:space="preserve">omkostning, reparationer </t>
  </si>
  <si>
    <t>BREMSER</t>
  </si>
  <si>
    <t>dæk</t>
  </si>
  <si>
    <t>dæk levetid</t>
  </si>
  <si>
    <t>PARTIKELFILTER</t>
  </si>
  <si>
    <t>partikelfilter</t>
  </si>
  <si>
    <t>bremseskift</t>
  </si>
  <si>
    <t>BATTERI</t>
  </si>
  <si>
    <t>batteriudskiftning</t>
  </si>
  <si>
    <t>omkostning, batteriudskiftning</t>
  </si>
  <si>
    <t>omkostning, samlet</t>
  </si>
  <si>
    <t>rækkevidde, anvendelig i flextrafik</t>
  </si>
  <si>
    <t>dagskørsel</t>
  </si>
  <si>
    <t>km/dag</t>
  </si>
  <si>
    <t>årskørsel</t>
  </si>
  <si>
    <t>dage/år</t>
  </si>
  <si>
    <t>ladeeffekt</t>
  </si>
  <si>
    <t>ladetid</t>
  </si>
  <si>
    <t>min</t>
  </si>
  <si>
    <t>Type</t>
  </si>
  <si>
    <t>min/dag</t>
  </si>
  <si>
    <t>Standardværdi</t>
  </si>
  <si>
    <t>Brugerværdi</t>
  </si>
  <si>
    <t>Anvendt værdi</t>
  </si>
  <si>
    <t>PRODUKTIONSTAB</t>
  </si>
  <si>
    <t xml:space="preserve">omkostningsfri ladepause  </t>
  </si>
  <si>
    <t xml:space="preserve">ekstra kørsel ifm. ladepause </t>
  </si>
  <si>
    <t>kr./time</t>
  </si>
  <si>
    <t>produktionstab, drift</t>
  </si>
  <si>
    <t>produktionstab, trafikstyring</t>
  </si>
  <si>
    <t>gennemsnitlig hastighed</t>
  </si>
  <si>
    <t>Stamdata</t>
  </si>
  <si>
    <t>antal biler</t>
  </si>
  <si>
    <t>projektperiode</t>
  </si>
  <si>
    <t>merpris ved el</t>
  </si>
  <si>
    <t>CO2-reduktion</t>
  </si>
  <si>
    <t>tons CO2e</t>
  </si>
  <si>
    <t>CO2-reduktion i projektperioden</t>
  </si>
  <si>
    <t>kr./tons CO2e</t>
  </si>
  <si>
    <t>LADESTATIONER</t>
  </si>
  <si>
    <t>lokaliteter</t>
  </si>
  <si>
    <t>ladere</t>
  </si>
  <si>
    <t>150 (2*75)</t>
  </si>
  <si>
    <t>240 (2*120)</t>
  </si>
  <si>
    <t>Ampere</t>
  </si>
  <si>
    <t>300 (2*150)</t>
  </si>
  <si>
    <t>350 (2*175)</t>
  </si>
  <si>
    <t>Installation</t>
  </si>
  <si>
    <t>Første</t>
  </si>
  <si>
    <t>Anden</t>
  </si>
  <si>
    <t>100 (2*50)</t>
  </si>
  <si>
    <t>Lader</t>
  </si>
  <si>
    <t>kW</t>
  </si>
  <si>
    <t>Kr.</t>
  </si>
  <si>
    <t>installation</t>
  </si>
  <si>
    <t>kr./lokalitet</t>
  </si>
  <si>
    <t>Amp/lokalitet</t>
  </si>
  <si>
    <t>omkostning pr. lokalitet</t>
  </si>
  <si>
    <t>omkostning</t>
  </si>
  <si>
    <t>moms</t>
  </si>
  <si>
    <t>merpris i alt</t>
  </si>
  <si>
    <t>CO2-reduktion i alt</t>
  </si>
  <si>
    <t>støtteberettiget merpris</t>
  </si>
  <si>
    <t>ladere pr. lokalitet</t>
  </si>
  <si>
    <t>stk./lokalitet</t>
  </si>
  <si>
    <t>KODE:</t>
  </si>
  <si>
    <t>Dette værktøj er udarbejdet af Movia i samarbejde med Trafikselskaberne i Danmark og Trafikstyrelsen.</t>
  </si>
  <si>
    <t>Værktøjet er udviklet til beregning af merpris ved anvendelse af elbiler i flextrafik.</t>
  </si>
  <si>
    <t>Værktøjet understøtter desuden hurtig- og lynladestationer (&gt;50 kW). Et projekt kan omfatte elbiler og/eller ladestationer.</t>
  </si>
  <si>
    <t>inputværdi (bruger/standard)</t>
  </si>
  <si>
    <t>beregningsværdi</t>
  </si>
  <si>
    <t>omkostningspost</t>
  </si>
  <si>
    <t>summeret omkostning</t>
  </si>
  <si>
    <t>merpris for elbilløsning</t>
  </si>
  <si>
    <t>Forklaring af anvendte værdier</t>
  </si>
  <si>
    <t>støtteprocent</t>
  </si>
  <si>
    <t>kr./bil</t>
  </si>
  <si>
    <t>kr./bil/år</t>
  </si>
  <si>
    <t>kWh/bil/år</t>
  </si>
  <si>
    <t>l/bil/år</t>
  </si>
  <si>
    <t>stk./bil/år</t>
  </si>
  <si>
    <t>service/bil/år</t>
  </si>
  <si>
    <t>omkostning, partikelfilter</t>
  </si>
  <si>
    <t>værdier anvendes til budgetskema</t>
  </si>
  <si>
    <t>km/l</t>
  </si>
  <si>
    <t>kW/lader</t>
  </si>
  <si>
    <t>PROJEKTANSØGNING</t>
  </si>
  <si>
    <t>De type 4-elbiler,som findes på markedet i dag er alle udstyret med et dieselfyr. Dieselfyret kan anvende HVO. Det vil i de fleste tilfælde dog ikke være praktisk muligt for operatøren at tanke HVO100 på dieselfyret, da det i dag kun er ganske få tankstationer, som tilbyder dette. Da bilerne ofte står decentralt vil det heller ikke være muligt for operatøren, at tanke dem ved egen HVO-tank. Det er derfor antaget, at bilens fyr anvender diesel B7.</t>
  </si>
  <si>
    <t>De værdier, som skal anvendes til ansøgningsskemaet fremgår af "TCO-model, flextrafik" under PROJEKTANSØGNING. Det er muligt at anvende skemaet til at lave én samlet ansøgning, som både omfatter type 1-elbiler, type 4-elbiler og/eller ladestationer.</t>
  </si>
  <si>
    <t>lakkering/foliering</t>
  </si>
  <si>
    <t>Første 25A</t>
  </si>
  <si>
    <t>RENGØRING</t>
  </si>
  <si>
    <t>vask og støvsugning</t>
  </si>
  <si>
    <t>kr./bil/mdr.</t>
  </si>
  <si>
    <t>kr./år.</t>
  </si>
  <si>
    <t>TBB2025</t>
  </si>
  <si>
    <t>Værktøjet anvender standardværdier. Det er muligt i stedet at angive brugerværdier i de hvide inputfelter.</t>
  </si>
  <si>
    <t>Drivmiddelpriser er baseret på forventninger til de gennemsnitlige priser, vognmænd betaler over projektperioden.</t>
  </si>
  <si>
    <t>Version 1.1. Opdateret juni 2025.</t>
  </si>
  <si>
    <t>Arket er låst med koden TBB2025</t>
  </si>
  <si>
    <t>Værktøjet understøtter følgende bilyper: alm. personbiler og minibusser med lift.</t>
  </si>
  <si>
    <t>Almindelige personbiler</t>
  </si>
  <si>
    <t>Minibusser med lift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</si>
</sst>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#,##0\ &quot;kr.&quot;;[Red]\-#,##0\ &quot;kr.&quot;"/>
    <numFmt numFmtId="164" formatCode="_-* #,##0.00\ _k_r_._-;\-* #,##0.00\ _k_r_._-;_-* &quot;-&quot;??\ _k_r_._-;_-@_-"/>
    <numFmt numFmtId="165" formatCode="_ * #,##0_ ;_ * \-#,##0_ ;_ * &quot;-&quot;??_ ;_ @_ "/>
    <numFmt numFmtId="166" formatCode="_-* #,##0\ _k_r_._-;\-* #,##0\ _k_r_._-;_-* &quot;-&quot;??\ _k_r_._-;_-@_-"/>
    <numFmt numFmtId="167" formatCode="_ * #,##0.00_ ;_ * \-#,##0.00_ ;_ * &quot;-&quot;??_ ;_ @_ "/>
    <numFmt numFmtId="168" formatCode="_(* #,##0.00_);_(* \(#,##0.00\);_(* &quot;-&quot;??_);_(@_)"/>
    <numFmt numFmtId="169" formatCode="_-* #,##0.0\ _k_r_._-;\-* #,##0.0\ _k_r_._-;_-* &quot;-&quot;??\ _k_r_._-;_-@_-"/>
    <numFmt numFmtId="170" formatCode="#,##0_ ;[Red]\-#,##0\ "/>
    <numFmt numFmtId="171" formatCode="_ * #,##0.0_ ;_ * \-#,##0.0_ ;_ * &quot;-&quot;??_ ;_ @_ "/>
    <numFmt numFmtId="172" formatCode="0.0%"/>
    <numFmt numFmtId="173" formatCode="_-* #,##0.0\ _k_r_._-;\-* #,##0.0\ _k_r_._-;_-* &quot;-&quot;?\ _k_r_._-;_-@_-"/>
    <numFmt numFmtId="174" formatCode="#,##0.0_ ;\-#,##0.0\ "/>
  </numFmts>
  <fonts count="1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Verdana"/>
      <family val="2"/>
    </font>
    <font>
      <sz val="9"/>
      <color theme="1"/>
      <name val="Arial"/>
      <family val="2"/>
      <scheme val="minor"/>
    </font>
    <font>
      <sz val="10"/>
      <name val="Arial"/>
      <family val="2"/>
    </font>
    <font>
      <sz val="10"/>
      <name val="Courier New"/>
      <family val="3"/>
    </font>
    <font>
      <sz val="8"/>
      <name val="Arial"/>
      <family val="2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11"/>
      <color rgb="FF000000"/>
      <name val="Calibri"/>
      <family val="2"/>
    </font>
    <font>
      <b/>
      <sz val="11"/>
      <color theme="1"/>
      <name val="Arial"/>
      <family val="2"/>
      <scheme val="minor"/>
    </font>
    <font>
      <sz val="8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8999908444471571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mediumDashed">
        <color auto="1"/>
      </left>
      <right/>
      <top/>
      <bottom/>
      <diagonal/>
    </border>
    <border>
      <left/>
      <right/>
      <top style="mediumDashed">
        <color auto="1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 style="mediumDashed">
        <color auto="1"/>
      </right>
      <top/>
      <bottom/>
      <diagonal/>
    </border>
  </borders>
  <cellStyleXfs count="2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4" fillId="0" borderId="0" applyNumberFormat="0" applyFont="0" applyFill="0" applyBorder="0" applyAlignment="0" applyProtection="0"/>
    <xf numFmtId="0" fontId="1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5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 applyNumberFormat="0" applyBorder="0" applyAlignment="0"/>
    <xf numFmtId="9" fontId="9" fillId="0" borderId="0" applyFont="0" applyFill="0" applyBorder="0" applyAlignment="0" applyProtection="0"/>
  </cellStyleXfs>
  <cellXfs count="99">
    <xf numFmtId="0" fontId="0" fillId="0" borderId="0" xfId="0"/>
    <xf numFmtId="0" fontId="8" fillId="0" borderId="0" xfId="0" applyFont="1"/>
    <xf numFmtId="0" fontId="7" fillId="0" borderId="0" xfId="0" applyFont="1"/>
    <xf numFmtId="166" fontId="8" fillId="6" borderId="0" xfId="0" applyNumberFormat="1" applyFont="1" applyFill="1"/>
    <xf numFmtId="166" fontId="8" fillId="5" borderId="0" xfId="1" applyNumberFormat="1" applyFont="1" applyFill="1" applyBorder="1" applyAlignment="1">
      <alignment horizontal="center"/>
    </xf>
    <xf numFmtId="166" fontId="8" fillId="3" borderId="0" xfId="1" applyNumberFormat="1" applyFont="1" applyFill="1" applyBorder="1" applyAlignment="1">
      <alignment horizontal="center"/>
    </xf>
    <xf numFmtId="3" fontId="8" fillId="4" borderId="0" xfId="0" applyNumberFormat="1" applyFont="1" applyFill="1" applyAlignment="1">
      <alignment horizontal="center"/>
    </xf>
    <xf numFmtId="170" fontId="8" fillId="4" borderId="0" xfId="0" applyNumberFormat="1" applyFont="1" applyFill="1" applyAlignment="1">
      <alignment horizontal="center"/>
    </xf>
    <xf numFmtId="166" fontId="8" fillId="4" borderId="0" xfId="1" applyNumberFormat="1" applyFont="1" applyFill="1" applyBorder="1" applyAlignment="1">
      <alignment horizontal="center"/>
    </xf>
    <xf numFmtId="9" fontId="8" fillId="4" borderId="0" xfId="0" applyNumberFormat="1" applyFont="1" applyFill="1"/>
    <xf numFmtId="166" fontId="8" fillId="4" borderId="0" xfId="1" applyNumberFormat="1" applyFont="1" applyFill="1" applyBorder="1"/>
    <xf numFmtId="169" fontId="8" fillId="4" borderId="0" xfId="1" applyNumberFormat="1" applyFont="1" applyFill="1" applyBorder="1"/>
    <xf numFmtId="3" fontId="6" fillId="4" borderId="0" xfId="23" applyNumberFormat="1" applyFont="1" applyFill="1" applyAlignment="1">
      <alignment horizontal="right" vertical="center"/>
    </xf>
    <xf numFmtId="171" fontId="8" fillId="4" borderId="0" xfId="1" applyNumberFormat="1" applyFont="1" applyFill="1" applyBorder="1" applyAlignment="1">
      <alignment horizontal="center"/>
    </xf>
    <xf numFmtId="166" fontId="8" fillId="2" borderId="0" xfId="0" applyNumberFormat="1" applyFont="1" applyFill="1"/>
    <xf numFmtId="166" fontId="8" fillId="4" borderId="1" xfId="1" applyNumberFormat="1" applyFont="1" applyFill="1" applyBorder="1" applyAlignment="1">
      <alignment horizontal="center"/>
    </xf>
    <xf numFmtId="0" fontId="7" fillId="4" borderId="0" xfId="0" applyFont="1" applyFill="1"/>
    <xf numFmtId="0" fontId="8" fillId="4" borderId="0" xfId="0" applyFont="1" applyFill="1"/>
    <xf numFmtId="0" fontId="7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/>
    </xf>
    <xf numFmtId="9" fontId="8" fillId="4" borderId="0" xfId="0" applyNumberFormat="1" applyFont="1" applyFill="1" applyAlignment="1">
      <alignment horizontal="center"/>
    </xf>
    <xf numFmtId="4" fontId="6" fillId="4" borderId="0" xfId="23" applyNumberFormat="1" applyFont="1" applyFill="1" applyAlignment="1">
      <alignment horizontal="right" vertical="center"/>
    </xf>
    <xf numFmtId="164" fontId="8" fillId="4" borderId="0" xfId="1" applyFont="1" applyFill="1" applyBorder="1"/>
    <xf numFmtId="165" fontId="8" fillId="4" borderId="0" xfId="1" applyNumberFormat="1" applyFont="1" applyFill="1" applyBorder="1"/>
    <xf numFmtId="165" fontId="8" fillId="4" borderId="0" xfId="1" applyNumberFormat="1" applyFont="1" applyFill="1" applyBorder="1" applyAlignment="1">
      <alignment horizontal="center"/>
    </xf>
    <xf numFmtId="164" fontId="7" fillId="4" borderId="0" xfId="1" applyFont="1" applyFill="1" applyBorder="1"/>
    <xf numFmtId="166" fontId="8" fillId="0" borderId="1" xfId="1" applyNumberFormat="1" applyFont="1" applyFill="1" applyBorder="1" applyAlignment="1" applyProtection="1">
      <alignment horizontal="center"/>
      <protection locked="0"/>
    </xf>
    <xf numFmtId="166" fontId="8" fillId="4" borderId="0" xfId="0" applyNumberFormat="1" applyFont="1" applyFill="1"/>
    <xf numFmtId="166" fontId="8" fillId="7" borderId="0" xfId="1" applyNumberFormat="1" applyFont="1" applyFill="1" applyBorder="1" applyAlignment="1">
      <alignment horizontal="center"/>
    </xf>
    <xf numFmtId="169" fontId="8" fillId="7" borderId="0" xfId="1" applyNumberFormat="1" applyFont="1" applyFill="1" applyBorder="1"/>
    <xf numFmtId="6" fontId="8" fillId="4" borderId="0" xfId="0" applyNumberFormat="1" applyFont="1" applyFill="1" applyAlignment="1">
      <alignment horizontal="center"/>
    </xf>
    <xf numFmtId="164" fontId="8" fillId="5" borderId="0" xfId="1" applyFont="1" applyFill="1" applyBorder="1" applyAlignment="1">
      <alignment horizontal="center"/>
    </xf>
    <xf numFmtId="164" fontId="8" fillId="4" borderId="0" xfId="1" applyFont="1" applyFill="1" applyBorder="1" applyAlignment="1">
      <alignment horizontal="center"/>
    </xf>
    <xf numFmtId="166" fontId="8" fillId="7" borderId="0" xfId="1" applyNumberFormat="1" applyFont="1" applyFill="1" applyBorder="1"/>
    <xf numFmtId="9" fontId="8" fillId="4" borderId="0" xfId="2" applyFont="1" applyFill="1" applyBorder="1" applyAlignment="1">
      <alignment horizontal="center"/>
    </xf>
    <xf numFmtId="9" fontId="8" fillId="4" borderId="1" xfId="2" applyFont="1" applyFill="1" applyBorder="1" applyAlignment="1">
      <alignment horizontal="center"/>
    </xf>
    <xf numFmtId="172" fontId="8" fillId="4" borderId="1" xfId="2" applyNumberFormat="1" applyFont="1" applyFill="1" applyBorder="1" applyAlignment="1">
      <alignment horizontal="center"/>
    </xf>
    <xf numFmtId="172" fontId="8" fillId="5" borderId="0" xfId="2" applyNumberFormat="1" applyFont="1" applyFill="1" applyBorder="1" applyAlignment="1">
      <alignment horizontal="center"/>
    </xf>
    <xf numFmtId="169" fontId="8" fillId="4" borderId="1" xfId="1" applyNumberFormat="1" applyFont="1" applyFill="1" applyBorder="1" applyAlignment="1">
      <alignment horizontal="center"/>
    </xf>
    <xf numFmtId="169" fontId="8" fillId="5" borderId="0" xfId="1" applyNumberFormat="1" applyFont="1" applyFill="1" applyBorder="1" applyAlignment="1">
      <alignment horizontal="center"/>
    </xf>
    <xf numFmtId="164" fontId="8" fillId="4" borderId="1" xfId="1" applyFont="1" applyFill="1" applyBorder="1" applyAlignment="1">
      <alignment horizontal="center"/>
    </xf>
    <xf numFmtId="172" fontId="8" fillId="7" borderId="0" xfId="2" applyNumberFormat="1" applyFont="1" applyFill="1" applyBorder="1"/>
    <xf numFmtId="172" fontId="8" fillId="0" borderId="1" xfId="2" applyNumberFormat="1" applyFont="1" applyFill="1" applyBorder="1" applyAlignment="1" applyProtection="1">
      <alignment horizontal="center"/>
      <protection locked="0"/>
    </xf>
    <xf numFmtId="172" fontId="8" fillId="5" borderId="0" xfId="2" applyNumberFormat="1" applyFont="1" applyFill="1" applyBorder="1"/>
    <xf numFmtId="172" fontId="8" fillId="4" borderId="0" xfId="2" applyNumberFormat="1" applyFont="1" applyFill="1" applyBorder="1" applyAlignment="1">
      <alignment horizontal="center"/>
    </xf>
    <xf numFmtId="166" fontId="8" fillId="4" borderId="0" xfId="1" applyNumberFormat="1" applyFont="1" applyFill="1" applyBorder="1" applyAlignment="1" applyProtection="1">
      <alignment horizontal="center"/>
      <protection locked="0"/>
    </xf>
    <xf numFmtId="0" fontId="7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/>
    </xf>
    <xf numFmtId="169" fontId="8" fillId="0" borderId="1" xfId="1" applyNumberFormat="1" applyFont="1" applyFill="1" applyBorder="1" applyAlignment="1" applyProtection="1">
      <alignment horizontal="center"/>
      <protection locked="0"/>
    </xf>
    <xf numFmtId="164" fontId="8" fillId="0" borderId="1" xfId="1" applyFont="1" applyFill="1" applyBorder="1" applyAlignment="1" applyProtection="1">
      <alignment horizontal="center"/>
      <protection locked="0"/>
    </xf>
    <xf numFmtId="3" fontId="8" fillId="4" borderId="0" xfId="0" applyNumberFormat="1" applyFont="1" applyFill="1"/>
    <xf numFmtId="173" fontId="8" fillId="4" borderId="0" xfId="0" applyNumberFormat="1" applyFont="1" applyFill="1"/>
    <xf numFmtId="164" fontId="8" fillId="4" borderId="0" xfId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right"/>
    </xf>
    <xf numFmtId="166" fontId="3" fillId="0" borderId="0" xfId="1" applyNumberFormat="1" applyFont="1" applyAlignment="1">
      <alignment horizontal="center" vertical="center"/>
    </xf>
    <xf numFmtId="166" fontId="3" fillId="0" borderId="0" xfId="1" applyNumberFormat="1" applyFont="1"/>
    <xf numFmtId="166" fontId="0" fillId="0" borderId="0" xfId="0" applyNumberFormat="1"/>
    <xf numFmtId="166" fontId="3" fillId="0" borderId="0" xfId="1" applyNumberFormat="1" applyFont="1" applyAlignment="1">
      <alignment vertical="center"/>
    </xf>
    <xf numFmtId="166" fontId="8" fillId="8" borderId="0" xfId="0" applyNumberFormat="1" applyFont="1" applyFill="1"/>
    <xf numFmtId="169" fontId="8" fillId="8" borderId="0" xfId="0" applyNumberFormat="1" applyFont="1" applyFill="1"/>
    <xf numFmtId="174" fontId="8" fillId="0" borderId="1" xfId="1" applyNumberFormat="1" applyFont="1" applyFill="1" applyBorder="1" applyAlignment="1" applyProtection="1">
      <alignment horizontal="center"/>
      <protection locked="0"/>
    </xf>
    <xf numFmtId="169" fontId="8" fillId="4" borderId="0" xfId="1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166" fontId="8" fillId="4" borderId="2" xfId="1" applyNumberFormat="1" applyFont="1" applyFill="1" applyBorder="1" applyAlignment="1">
      <alignment horizontal="center"/>
    </xf>
    <xf numFmtId="169" fontId="8" fillId="4" borderId="2" xfId="1" applyNumberFormat="1" applyFont="1" applyFill="1" applyBorder="1"/>
    <xf numFmtId="0" fontId="7" fillId="4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172" fontId="8" fillId="4" borderId="2" xfId="2" applyNumberFormat="1" applyFont="1" applyFill="1" applyBorder="1" applyAlignment="1">
      <alignment horizontal="center"/>
    </xf>
    <xf numFmtId="166" fontId="8" fillId="4" borderId="2" xfId="1" applyNumberFormat="1" applyFont="1" applyFill="1" applyBorder="1"/>
    <xf numFmtId="6" fontId="8" fillId="4" borderId="2" xfId="0" applyNumberFormat="1" applyFont="1" applyFill="1" applyBorder="1" applyAlignment="1">
      <alignment horizontal="center"/>
    </xf>
    <xf numFmtId="3" fontId="6" fillId="4" borderId="2" xfId="23" applyNumberFormat="1" applyFont="1" applyFill="1" applyBorder="1" applyAlignment="1">
      <alignment horizontal="right" vertical="center"/>
    </xf>
    <xf numFmtId="169" fontId="8" fillId="4" borderId="2" xfId="1" applyNumberFormat="1" applyFont="1" applyFill="1" applyBorder="1" applyAlignment="1">
      <alignment horizontal="center"/>
    </xf>
    <xf numFmtId="0" fontId="8" fillId="4" borderId="2" xfId="0" applyFont="1" applyFill="1" applyBorder="1"/>
    <xf numFmtId="9" fontId="8" fillId="4" borderId="2" xfId="0" applyNumberFormat="1" applyFont="1" applyFill="1" applyBorder="1"/>
    <xf numFmtId="164" fontId="8" fillId="4" borderId="2" xfId="1" applyFont="1" applyFill="1" applyBorder="1" applyAlignment="1">
      <alignment horizontal="center"/>
    </xf>
    <xf numFmtId="165" fontId="8" fillId="4" borderId="2" xfId="1" applyNumberFormat="1" applyFont="1" applyFill="1" applyBorder="1"/>
    <xf numFmtId="171" fontId="8" fillId="4" borderId="2" xfId="1" applyNumberFormat="1" applyFont="1" applyFill="1" applyBorder="1" applyAlignment="1">
      <alignment horizontal="center"/>
    </xf>
    <xf numFmtId="9" fontId="8" fillId="4" borderId="2" xfId="2" applyFont="1" applyFill="1" applyBorder="1" applyAlignment="1">
      <alignment horizontal="center"/>
    </xf>
    <xf numFmtId="166" fontId="8" fillId="4" borderId="2" xfId="0" applyNumberFormat="1" applyFont="1" applyFill="1" applyBorder="1"/>
    <xf numFmtId="0" fontId="0" fillId="4" borderId="0" xfId="0" applyFill="1"/>
    <xf numFmtId="0" fontId="10" fillId="4" borderId="0" xfId="0" applyFont="1" applyFill="1"/>
    <xf numFmtId="0" fontId="8" fillId="4" borderId="3" xfId="0" applyFont="1" applyFill="1" applyBorder="1"/>
    <xf numFmtId="0" fontId="8" fillId="4" borderId="4" xfId="0" applyFont="1" applyFill="1" applyBorder="1"/>
    <xf numFmtId="0" fontId="7" fillId="4" borderId="3" xfId="0" applyFont="1" applyFill="1" applyBorder="1"/>
    <xf numFmtId="0" fontId="8" fillId="0" borderId="3" xfId="0" applyFont="1" applyBorder="1"/>
    <xf numFmtId="0" fontId="11" fillId="4" borderId="0" xfId="0" applyFont="1" applyFill="1"/>
    <xf numFmtId="9" fontId="8" fillId="0" borderId="1" xfId="2" applyFont="1" applyFill="1" applyBorder="1" applyAlignment="1" applyProtection="1">
      <alignment horizontal="center"/>
      <protection locked="0"/>
    </xf>
    <xf numFmtId="166" fontId="8" fillId="4" borderId="5" xfId="1" applyNumberFormat="1" applyFont="1" applyFill="1" applyBorder="1" applyAlignment="1">
      <alignment horizontal="center"/>
    </xf>
    <xf numFmtId="0" fontId="8" fillId="4" borderId="5" xfId="0" applyFont="1" applyFill="1" applyBorder="1"/>
    <xf numFmtId="0" fontId="0" fillId="4" borderId="0" xfId="0" applyFill="1" applyAlignment="1">
      <alignment horizontal="left" wrapText="1"/>
    </xf>
    <xf numFmtId="0" fontId="0" fillId="4" borderId="0" xfId="0" applyFill="1" applyAlignment="1">
      <alignment horizontal="left" vertical="center" wrapText="1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center" wrapText="1"/>
    </xf>
    <xf numFmtId="0" fontId="7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 vertical="center" wrapText="1"/>
    </xf>
    <xf numFmtId="166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8">
    <cellStyle name="1000-sep (2 dec) 2" xfId="3" xr:uid="{00000000-0005-0000-0000-000000000000}"/>
    <cellStyle name="Komma" xfId="1" builtinId="3"/>
    <cellStyle name="Komma 2" xfId="4" xr:uid="{00000000-0005-0000-0000-000002000000}"/>
    <cellStyle name="Komma 2 2" xfId="5" xr:uid="{00000000-0005-0000-0000-000003000000}"/>
    <cellStyle name="Komma 3" xfId="6" xr:uid="{00000000-0005-0000-0000-000004000000}"/>
    <cellStyle name="Komma 4" xfId="7" xr:uid="{00000000-0005-0000-0000-000005000000}"/>
    <cellStyle name="Normal" xfId="0" builtinId="0"/>
    <cellStyle name="Normal 2" xfId="8" xr:uid="{00000000-0005-0000-0000-000007000000}"/>
    <cellStyle name="Normal 2 2" xfId="9" xr:uid="{00000000-0005-0000-0000-000008000000}"/>
    <cellStyle name="Normal 2 3" xfId="10" xr:uid="{00000000-0005-0000-0000-000009000000}"/>
    <cellStyle name="Normal 2 4" xfId="11" xr:uid="{00000000-0005-0000-0000-00000A000000}"/>
    <cellStyle name="Normal 3" xfId="12" xr:uid="{00000000-0005-0000-0000-00000B000000}"/>
    <cellStyle name="Normal 3 2" xfId="13" xr:uid="{00000000-0005-0000-0000-00000C000000}"/>
    <cellStyle name="Normal 3 3" xfId="14" xr:uid="{00000000-0005-0000-0000-00000D000000}"/>
    <cellStyle name="Normal 3 4" xfId="15" xr:uid="{00000000-0005-0000-0000-00000E000000}"/>
    <cellStyle name="Normal 4" xfId="16" xr:uid="{00000000-0005-0000-0000-00000F000000}"/>
    <cellStyle name="Normal 4 2" xfId="17" xr:uid="{00000000-0005-0000-0000-000010000000}"/>
    <cellStyle name="Normal 5" xfId="18" xr:uid="{00000000-0005-0000-0000-000011000000}"/>
    <cellStyle name="Normal 5 2" xfId="19" xr:uid="{00000000-0005-0000-0000-000012000000}"/>
    <cellStyle name="Normal 6" xfId="20" xr:uid="{00000000-0005-0000-0000-000013000000}"/>
    <cellStyle name="Normal 7" xfId="21" xr:uid="{00000000-0005-0000-0000-000014000000}"/>
    <cellStyle name="Normal 8" xfId="22" xr:uid="{00000000-0005-0000-0000-000015000000}"/>
    <cellStyle name="Normal 9" xfId="26" xr:uid="{6CCDED14-017B-4840-972B-B71F8FE03900}"/>
    <cellStyle name="Normal_data til beregning" xfId="23" xr:uid="{00000000-0005-0000-0000-000016000000}"/>
    <cellStyle name="Procent" xfId="2" builtinId="5"/>
    <cellStyle name="Procent 2" xfId="24" xr:uid="{00000000-0005-0000-0000-000018000000}"/>
    <cellStyle name="Procent 3" xfId="25" xr:uid="{00000000-0005-0000-0000-000019000000}"/>
    <cellStyle name="Procent 4" xfId="27" xr:uid="{4EBDE88B-6B96-4AC6-8AB4-C56284F8B1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Movia">
      <a:dk1>
        <a:sysClr val="windowText" lastClr="000000"/>
      </a:dk1>
      <a:lt1>
        <a:sysClr val="window" lastClr="FFFFFF"/>
      </a:lt1>
      <a:dk2>
        <a:srgbClr val="899BBC"/>
      </a:dk2>
      <a:lt2>
        <a:srgbClr val="FFE0A8"/>
      </a:lt2>
      <a:accent1>
        <a:srgbClr val="FFB612"/>
      </a:accent1>
      <a:accent2>
        <a:srgbClr val="BFC3C6"/>
      </a:accent2>
      <a:accent3>
        <a:srgbClr val="00214D"/>
      </a:accent3>
      <a:accent4>
        <a:srgbClr val="BCB295"/>
      </a:accent4>
      <a:accent5>
        <a:srgbClr val="54B948"/>
      </a:accent5>
      <a:accent6>
        <a:srgbClr val="00A5CC"/>
      </a:accent6>
      <a:hlink>
        <a:srgbClr val="00214D"/>
      </a:hlink>
      <a:folHlink>
        <a:srgbClr val="899BBC"/>
      </a:folHlink>
    </a:clrScheme>
    <a:fontScheme name="Movia Aria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57B68-9D71-400A-B4A5-810DB377E159}">
  <dimension ref="B1:D24"/>
  <sheetViews>
    <sheetView showRowColHeaders="0" workbookViewId="0">
      <selection activeCell="B7" sqref="B7:D7"/>
    </sheetView>
  </sheetViews>
  <sheetFormatPr defaultRowHeight="31.5" customHeight="1" x14ac:dyDescent="0.2"/>
  <cols>
    <col min="1" max="1" width="3.375" style="81" customWidth="1"/>
    <col min="2" max="2" width="5.875" style="81" customWidth="1"/>
    <col min="3" max="3" width="1.375" style="81" customWidth="1"/>
    <col min="4" max="4" width="47.75" style="81" customWidth="1"/>
    <col min="5" max="16384" width="9" style="81"/>
  </cols>
  <sheetData>
    <row r="1" spans="2:4" ht="15.75" customHeight="1" x14ac:dyDescent="0.2"/>
    <row r="2" spans="2:4" ht="31.5" customHeight="1" x14ac:dyDescent="0.2">
      <c r="B2" s="91" t="s">
        <v>147</v>
      </c>
      <c r="C2" s="91"/>
      <c r="D2" s="91"/>
    </row>
    <row r="3" spans="2:4" ht="31.5" customHeight="1" x14ac:dyDescent="0.2">
      <c r="B3" s="91" t="s">
        <v>148</v>
      </c>
      <c r="C3" s="91"/>
      <c r="D3" s="91"/>
    </row>
    <row r="4" spans="2:4" ht="31.5" customHeight="1" x14ac:dyDescent="0.2">
      <c r="B4" s="91" t="s">
        <v>181</v>
      </c>
      <c r="C4" s="91"/>
      <c r="D4" s="91"/>
    </row>
    <row r="5" spans="2:4" ht="31.5" customHeight="1" x14ac:dyDescent="0.2">
      <c r="B5" s="91" t="s">
        <v>149</v>
      </c>
      <c r="C5" s="91"/>
      <c r="D5" s="91"/>
    </row>
    <row r="6" spans="2:4" ht="35.25" customHeight="1" x14ac:dyDescent="0.2">
      <c r="B6" s="91" t="s">
        <v>177</v>
      </c>
      <c r="C6" s="91"/>
      <c r="D6" s="91"/>
    </row>
    <row r="7" spans="2:4" ht="70.5" customHeight="1" x14ac:dyDescent="0.2">
      <c r="B7" s="92" t="s">
        <v>169</v>
      </c>
      <c r="C7" s="92"/>
      <c r="D7" s="92"/>
    </row>
    <row r="8" spans="2:4" ht="60" customHeight="1" x14ac:dyDescent="0.2">
      <c r="B8" s="92" t="s">
        <v>178</v>
      </c>
      <c r="C8" s="92"/>
      <c r="D8" s="92"/>
    </row>
    <row r="9" spans="2:4" ht="31.5" customHeight="1" x14ac:dyDescent="0.2">
      <c r="B9" s="91" t="s">
        <v>179</v>
      </c>
      <c r="C9" s="91"/>
      <c r="D9" s="91"/>
    </row>
    <row r="10" spans="2:4" ht="31.5" customHeight="1" x14ac:dyDescent="0.25">
      <c r="B10" s="82" t="s">
        <v>155</v>
      </c>
    </row>
    <row r="11" spans="2:4" ht="15" customHeight="1" x14ac:dyDescent="0.2">
      <c r="B11" s="4"/>
      <c r="D11" s="81" t="s">
        <v>150</v>
      </c>
    </row>
    <row r="12" spans="2:4" ht="3.95" customHeight="1" x14ac:dyDescent="0.2"/>
    <row r="13" spans="2:4" ht="15" customHeight="1" x14ac:dyDescent="0.2">
      <c r="B13" s="30"/>
      <c r="D13" s="81" t="s">
        <v>151</v>
      </c>
    </row>
    <row r="14" spans="2:4" ht="3.95" customHeight="1" x14ac:dyDescent="0.2"/>
    <row r="15" spans="2:4" ht="15" customHeight="1" x14ac:dyDescent="0.2">
      <c r="B15" s="5"/>
      <c r="D15" s="81" t="s">
        <v>152</v>
      </c>
    </row>
    <row r="16" spans="2:4" ht="3.95" customHeight="1" x14ac:dyDescent="0.2"/>
    <row r="17" spans="2:4" ht="15" customHeight="1" x14ac:dyDescent="0.2">
      <c r="B17" s="14"/>
      <c r="D17" s="81" t="s">
        <v>153</v>
      </c>
    </row>
    <row r="18" spans="2:4" ht="3.95" customHeight="1" x14ac:dyDescent="0.2"/>
    <row r="19" spans="2:4" ht="15" customHeight="1" x14ac:dyDescent="0.2">
      <c r="B19" s="3"/>
      <c r="D19" s="81" t="s">
        <v>154</v>
      </c>
    </row>
    <row r="20" spans="2:4" ht="3.95" customHeight="1" x14ac:dyDescent="0.2"/>
    <row r="21" spans="2:4" ht="15" customHeight="1" x14ac:dyDescent="0.2">
      <c r="B21" s="61"/>
      <c r="D21" s="81" t="s">
        <v>164</v>
      </c>
    </row>
    <row r="22" spans="2:4" ht="3.95" customHeight="1" x14ac:dyDescent="0.2"/>
    <row r="23" spans="2:4" ht="6" customHeight="1" x14ac:dyDescent="0.2"/>
    <row r="24" spans="2:4" ht="31.5" customHeight="1" x14ac:dyDescent="0.2">
      <c r="B24" s="81" t="s">
        <v>180</v>
      </c>
    </row>
  </sheetData>
  <sheetProtection algorithmName="SHA-512" hashValue="fvysP/B7NEwO3CK+RcluamwYwBNj2B0ypvlkf7iSrMB6zEaRIN6yJSrMGiE6MR8zWVXOcRzZALsvoyGgaXwh3w==" saltValue="YiOa0wO6/vxNp6mEYxcVEw==" spinCount="100000" sheet="1" objects="1" scenarios="1"/>
  <mergeCells count="8">
    <mergeCell ref="B9:D9"/>
    <mergeCell ref="B2:D2"/>
    <mergeCell ref="B3:D3"/>
    <mergeCell ref="B4:D4"/>
    <mergeCell ref="B5:D5"/>
    <mergeCell ref="B6:D6"/>
    <mergeCell ref="B7:D7"/>
    <mergeCell ref="B8:D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BO513"/>
  <sheetViews>
    <sheetView showRowColHeaders="0" tabSelected="1" zoomScaleNormal="100" workbookViewId="0">
      <pane xSplit="3" ySplit="19" topLeftCell="D20" activePane="bottomRight" state="frozen"/>
      <selection pane="topRight" activeCell="C1" sqref="C1"/>
      <selection pane="bottomLeft" activeCell="A6" sqref="A6"/>
      <selection pane="bottomRight" activeCell="L73" sqref="L73"/>
    </sheetView>
  </sheetViews>
  <sheetFormatPr defaultColWidth="9" defaultRowHeight="11.25" x14ac:dyDescent="0.2"/>
  <cols>
    <col min="1" max="1" width="1.625" style="17" customWidth="1"/>
    <col min="2" max="2" width="24" style="17" customWidth="1"/>
    <col min="3" max="3" width="9" style="17" customWidth="1"/>
    <col min="4" max="4" width="14" style="17" customWidth="1"/>
    <col min="5" max="5" width="1.625" style="17" customWidth="1"/>
    <col min="6" max="6" width="14" style="17" customWidth="1"/>
    <col min="7" max="7" width="1.625" style="17" customWidth="1"/>
    <col min="8" max="8" width="14" style="1" customWidth="1"/>
    <col min="9" max="9" width="1.625" style="17" customWidth="1"/>
    <col min="10" max="10" width="14" style="17" customWidth="1"/>
    <col min="11" max="11" width="1.625" style="17" customWidth="1"/>
    <col min="12" max="12" width="14" style="17" customWidth="1"/>
    <col min="13" max="13" width="1.625" style="17" customWidth="1"/>
    <col min="14" max="14" width="14" style="1" customWidth="1"/>
    <col min="15" max="15" width="1.625" style="17" customWidth="1"/>
    <col min="16" max="16" width="1.625" style="74" customWidth="1"/>
    <col min="17" max="17" width="14" style="17" customWidth="1"/>
    <col min="18" max="18" width="1.625" style="17" customWidth="1"/>
    <col min="19" max="19" width="14" style="17" customWidth="1"/>
    <col min="20" max="20" width="1.625" style="17" customWidth="1"/>
    <col min="21" max="21" width="14" style="1" customWidth="1"/>
    <col min="22" max="22" width="1.625" style="17" customWidth="1"/>
    <col min="23" max="23" width="14" style="17" customWidth="1"/>
    <col min="24" max="24" width="1.625" style="17" customWidth="1"/>
    <col min="25" max="25" width="14" style="17" customWidth="1"/>
    <col min="26" max="26" width="1.625" style="17" customWidth="1"/>
    <col min="27" max="27" width="14" style="1" customWidth="1"/>
    <col min="28" max="28" width="9.75" style="17" bestFit="1" customWidth="1"/>
    <col min="29" max="65" width="9" style="17"/>
    <col min="66" max="16384" width="9" style="1"/>
  </cols>
  <sheetData>
    <row r="1" spans="2:27" s="17" customFormat="1" ht="3.95" customHeight="1" x14ac:dyDescent="0.2">
      <c r="B1" s="16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</row>
    <row r="2" spans="2:27" ht="13.5" customHeight="1" x14ac:dyDescent="0.2">
      <c r="B2" s="18"/>
      <c r="C2" s="19"/>
      <c r="D2" s="96" t="s">
        <v>182</v>
      </c>
      <c r="E2" s="96"/>
      <c r="F2" s="96"/>
      <c r="G2" s="96"/>
      <c r="H2" s="96"/>
      <c r="I2" s="96"/>
      <c r="J2" s="96"/>
      <c r="K2" s="96"/>
      <c r="L2" s="96"/>
      <c r="M2" s="96"/>
      <c r="N2" s="96"/>
      <c r="O2" s="47"/>
      <c r="P2" s="64"/>
      <c r="Q2" s="96" t="s">
        <v>183</v>
      </c>
      <c r="R2" s="96"/>
      <c r="S2" s="96"/>
      <c r="T2" s="96"/>
      <c r="U2" s="96"/>
      <c r="V2" s="96"/>
      <c r="W2" s="96"/>
      <c r="X2" s="96"/>
      <c r="Y2" s="96"/>
      <c r="Z2" s="96"/>
      <c r="AA2" s="96"/>
    </row>
    <row r="3" spans="2:27" ht="25.5" customHeight="1" x14ac:dyDescent="0.2">
      <c r="B3" s="18" t="s">
        <v>112</v>
      </c>
      <c r="C3" s="19"/>
      <c r="D3" s="47" t="s">
        <v>103</v>
      </c>
      <c r="E3" s="48"/>
      <c r="F3" s="47" t="s">
        <v>102</v>
      </c>
      <c r="G3" s="48"/>
      <c r="H3" s="47" t="s">
        <v>104</v>
      </c>
      <c r="I3" s="48"/>
      <c r="J3" s="47" t="s">
        <v>103</v>
      </c>
      <c r="K3" s="48"/>
      <c r="L3" s="47" t="s">
        <v>102</v>
      </c>
      <c r="M3" s="48"/>
      <c r="N3" s="47" t="s">
        <v>104</v>
      </c>
      <c r="O3" s="47"/>
      <c r="P3" s="64"/>
      <c r="Q3" s="47" t="s">
        <v>103</v>
      </c>
      <c r="R3" s="48"/>
      <c r="S3" s="47" t="s">
        <v>102</v>
      </c>
      <c r="T3" s="48"/>
      <c r="U3" s="47" t="s">
        <v>104</v>
      </c>
      <c r="V3" s="48"/>
      <c r="W3" s="47" t="s">
        <v>103</v>
      </c>
      <c r="X3" s="48"/>
      <c r="Y3" s="47" t="s">
        <v>102</v>
      </c>
      <c r="Z3" s="48"/>
      <c r="AA3" s="47" t="s">
        <v>104</v>
      </c>
    </row>
    <row r="4" spans="2:27" ht="3.95" customHeight="1" thickBot="1" x14ac:dyDescent="0.25">
      <c r="D4" s="8"/>
      <c r="F4" s="8"/>
      <c r="H4" s="8"/>
      <c r="J4" s="8"/>
      <c r="L4" s="8"/>
      <c r="N4" s="8"/>
      <c r="O4" s="8"/>
      <c r="P4" s="65"/>
      <c r="Q4" s="8"/>
      <c r="S4" s="8"/>
      <c r="U4" s="8"/>
      <c r="W4" s="8"/>
      <c r="Y4" s="8"/>
      <c r="AA4" s="8"/>
    </row>
    <row r="5" spans="2:27" ht="15" customHeight="1" thickTop="1" x14ac:dyDescent="0.2">
      <c r="B5" s="17" t="s">
        <v>93</v>
      </c>
      <c r="C5" s="17" t="s">
        <v>94</v>
      </c>
      <c r="D5" s="27"/>
      <c r="F5" s="15">
        <v>420</v>
      </c>
      <c r="H5" s="4">
        <f>IF(ISNUMBER(D5),D5,F5)</f>
        <v>420</v>
      </c>
      <c r="N5" s="8"/>
      <c r="O5" s="8"/>
      <c r="P5" s="65"/>
      <c r="Q5" s="27"/>
      <c r="S5" s="15">
        <v>420</v>
      </c>
      <c r="U5" s="4">
        <f>IF(ISNUMBER(Q5),Q5,S5)</f>
        <v>420</v>
      </c>
      <c r="AA5" s="8"/>
    </row>
    <row r="6" spans="2:27" ht="3.95" customHeight="1" thickBot="1" x14ac:dyDescent="0.25">
      <c r="D6" s="8"/>
      <c r="F6" s="8"/>
      <c r="H6" s="8"/>
      <c r="J6" s="8"/>
      <c r="L6" s="8"/>
      <c r="N6" s="8"/>
      <c r="O6" s="8"/>
      <c r="P6" s="65"/>
      <c r="Q6" s="8"/>
      <c r="S6" s="8"/>
      <c r="U6" s="8"/>
      <c r="W6" s="8"/>
      <c r="Y6" s="8"/>
      <c r="AA6" s="8"/>
    </row>
    <row r="7" spans="2:27" ht="15" customHeight="1" thickTop="1" x14ac:dyDescent="0.2">
      <c r="B7" s="17" t="s">
        <v>95</v>
      </c>
      <c r="C7" s="17" t="s">
        <v>96</v>
      </c>
      <c r="D7" s="27"/>
      <c r="F7" s="15">
        <v>300</v>
      </c>
      <c r="H7" s="4">
        <f>IF(ISNUMBER(D7),D7,F7)</f>
        <v>300</v>
      </c>
      <c r="N7" s="8"/>
      <c r="O7" s="8"/>
      <c r="P7" s="65"/>
      <c r="Q7" s="27"/>
      <c r="S7" s="15">
        <v>300</v>
      </c>
      <c r="U7" s="4">
        <f>IF(ISNUMBER(Q7),Q7,S7)</f>
        <v>300</v>
      </c>
      <c r="AA7" s="8"/>
    </row>
    <row r="8" spans="2:27" ht="3.95" customHeight="1" x14ac:dyDescent="0.2">
      <c r="D8" s="8"/>
      <c r="F8" s="8"/>
      <c r="H8" s="8"/>
      <c r="J8" s="8"/>
      <c r="L8" s="8"/>
      <c r="N8" s="8"/>
      <c r="O8" s="8"/>
      <c r="P8" s="65"/>
      <c r="Q8" s="8"/>
      <c r="S8" s="8"/>
      <c r="U8" s="8"/>
      <c r="W8" s="8"/>
      <c r="Y8" s="8"/>
      <c r="AA8" s="8"/>
    </row>
    <row r="9" spans="2:27" ht="15" customHeight="1" x14ac:dyDescent="0.2">
      <c r="B9" s="17" t="s">
        <v>95</v>
      </c>
      <c r="C9" s="17" t="s">
        <v>22</v>
      </c>
      <c r="H9" s="29">
        <f>H5*H7</f>
        <v>126000</v>
      </c>
      <c r="N9" s="8"/>
      <c r="O9" s="8"/>
      <c r="P9" s="65"/>
      <c r="U9" s="29">
        <f>U5*U7</f>
        <v>126000</v>
      </c>
      <c r="AA9" s="8"/>
    </row>
    <row r="10" spans="2:27" ht="3.95" customHeight="1" thickBot="1" x14ac:dyDescent="0.25">
      <c r="D10" s="8"/>
      <c r="F10" s="8"/>
      <c r="H10" s="8"/>
      <c r="J10" s="8"/>
      <c r="L10" s="8"/>
      <c r="N10" s="8"/>
      <c r="O10" s="8"/>
      <c r="P10" s="65"/>
      <c r="Q10" s="8"/>
      <c r="S10" s="8"/>
      <c r="U10" s="8"/>
      <c r="W10" s="8"/>
      <c r="Y10" s="8"/>
      <c r="AA10" s="8"/>
    </row>
    <row r="11" spans="2:27" ht="15" customHeight="1" thickTop="1" x14ac:dyDescent="0.2">
      <c r="B11" s="17" t="s">
        <v>95</v>
      </c>
      <c r="C11" s="17" t="s">
        <v>61</v>
      </c>
      <c r="D11" s="27"/>
      <c r="F11" s="15">
        <v>2400</v>
      </c>
      <c r="H11" s="4">
        <f>IF(ISNUMBER(D11),D11,F11)</f>
        <v>2400</v>
      </c>
      <c r="N11" s="8"/>
      <c r="O11" s="8"/>
      <c r="P11" s="65"/>
      <c r="Q11" s="27"/>
      <c r="S11" s="15">
        <v>2400</v>
      </c>
      <c r="U11" s="4">
        <f>IF(ISNUMBER(Q11),Q11,S11)</f>
        <v>2400</v>
      </c>
      <c r="AA11" s="8"/>
    </row>
    <row r="12" spans="2:27" ht="3.95" customHeight="1" x14ac:dyDescent="0.2">
      <c r="D12" s="8"/>
      <c r="F12" s="8"/>
      <c r="H12" s="8"/>
      <c r="J12" s="8"/>
      <c r="L12" s="8"/>
      <c r="N12" s="8"/>
      <c r="O12" s="8"/>
      <c r="P12" s="65"/>
      <c r="Q12" s="8"/>
      <c r="S12" s="8"/>
      <c r="U12" s="8"/>
      <c r="W12" s="8"/>
      <c r="Y12" s="8"/>
      <c r="AA12" s="8"/>
    </row>
    <row r="13" spans="2:27" ht="15" customHeight="1" x14ac:dyDescent="0.2">
      <c r="B13" s="17" t="s">
        <v>111</v>
      </c>
      <c r="C13" s="17" t="s">
        <v>20</v>
      </c>
      <c r="D13" s="11"/>
      <c r="F13" s="11"/>
      <c r="H13" s="30">
        <f t="shared" ref="H13" si="0">H9/H11</f>
        <v>52.5</v>
      </c>
      <c r="J13" s="11"/>
      <c r="L13" s="11"/>
      <c r="N13" s="11"/>
      <c r="O13" s="11"/>
      <c r="P13" s="66"/>
      <c r="Q13" s="11"/>
      <c r="S13" s="11"/>
      <c r="U13" s="30">
        <f t="shared" ref="U13" si="1">U9/U11</f>
        <v>52.5</v>
      </c>
      <c r="W13" s="11"/>
      <c r="Y13" s="11"/>
      <c r="AA13" s="11"/>
    </row>
    <row r="14" spans="2:27" ht="3.95" customHeight="1" thickBot="1" x14ac:dyDescent="0.25">
      <c r="D14" s="11"/>
      <c r="F14" s="11"/>
      <c r="H14" s="11"/>
      <c r="J14" s="11"/>
      <c r="L14" s="11"/>
      <c r="N14" s="11"/>
      <c r="O14" s="11"/>
      <c r="P14" s="66"/>
      <c r="Q14" s="11"/>
      <c r="S14" s="11"/>
      <c r="U14" s="11"/>
      <c r="W14" s="11"/>
      <c r="Y14" s="11"/>
      <c r="AA14" s="11"/>
    </row>
    <row r="15" spans="2:27" ht="15" customHeight="1" thickTop="1" x14ac:dyDescent="0.2">
      <c r="B15" s="17" t="s">
        <v>113</v>
      </c>
      <c r="C15" s="17" t="s">
        <v>3</v>
      </c>
      <c r="D15" s="27"/>
      <c r="F15" s="11"/>
      <c r="H15" s="4">
        <f>D15</f>
        <v>0</v>
      </c>
      <c r="J15" s="11"/>
      <c r="L15" s="11"/>
      <c r="N15" s="11"/>
      <c r="O15" s="11"/>
      <c r="P15" s="66"/>
      <c r="Q15" s="27"/>
      <c r="S15" s="11"/>
      <c r="U15" s="4">
        <f>Q15</f>
        <v>0</v>
      </c>
      <c r="W15" s="11"/>
      <c r="Y15" s="11"/>
      <c r="AA15" s="11"/>
    </row>
    <row r="16" spans="2:27" ht="3.95" customHeight="1" thickBot="1" x14ac:dyDescent="0.25">
      <c r="D16" s="11"/>
      <c r="F16" s="11"/>
      <c r="H16" s="11"/>
      <c r="J16" s="11"/>
      <c r="L16" s="11"/>
      <c r="N16" s="11"/>
      <c r="O16" s="11"/>
      <c r="P16" s="66"/>
      <c r="Q16" s="11"/>
      <c r="S16" s="11"/>
      <c r="U16" s="11"/>
      <c r="W16" s="11"/>
      <c r="Y16" s="11"/>
      <c r="AA16" s="11"/>
    </row>
    <row r="17" spans="2:27" ht="15" customHeight="1" thickTop="1" x14ac:dyDescent="0.2">
      <c r="B17" s="17" t="s">
        <v>114</v>
      </c>
      <c r="C17" s="17" t="s">
        <v>45</v>
      </c>
      <c r="D17" s="27"/>
      <c r="F17" s="15">
        <v>2</v>
      </c>
      <c r="H17" s="4">
        <f>IF(ISNUMBER(D17),D17,F17)</f>
        <v>2</v>
      </c>
      <c r="J17" s="11"/>
      <c r="L17" s="11"/>
      <c r="N17" s="11"/>
      <c r="O17" s="11"/>
      <c r="P17" s="66"/>
      <c r="Q17" s="27"/>
      <c r="S17" s="15">
        <v>2</v>
      </c>
      <c r="U17" s="4">
        <f>IF(ISNUMBER(Q17),Q17,S17)</f>
        <v>2</v>
      </c>
      <c r="W17" s="11"/>
      <c r="Y17" s="11"/>
      <c r="AA17" s="11"/>
    </row>
    <row r="18" spans="2:27" ht="3.95" customHeight="1" x14ac:dyDescent="0.2">
      <c r="D18" s="11"/>
      <c r="F18" s="11"/>
      <c r="H18" s="11"/>
      <c r="J18" s="11"/>
      <c r="L18" s="11"/>
      <c r="N18" s="11"/>
      <c r="O18" s="11"/>
      <c r="P18" s="66"/>
      <c r="Q18" s="11"/>
      <c r="S18" s="11"/>
      <c r="U18" s="11"/>
      <c r="W18" s="11"/>
      <c r="Y18" s="11"/>
      <c r="AA18" s="11"/>
    </row>
    <row r="19" spans="2:27" ht="15" customHeight="1" x14ac:dyDescent="0.2">
      <c r="B19" s="16" t="s">
        <v>5</v>
      </c>
      <c r="D19" s="95" t="s">
        <v>13</v>
      </c>
      <c r="E19" s="95"/>
      <c r="F19" s="95"/>
      <c r="G19" s="95"/>
      <c r="H19" s="95"/>
      <c r="I19" s="49"/>
      <c r="J19" s="95" t="s">
        <v>14</v>
      </c>
      <c r="K19" s="95"/>
      <c r="L19" s="95"/>
      <c r="M19" s="95"/>
      <c r="N19" s="95"/>
      <c r="O19" s="49"/>
      <c r="P19" s="67"/>
      <c r="Q19" s="95" t="s">
        <v>13</v>
      </c>
      <c r="R19" s="95"/>
      <c r="S19" s="95"/>
      <c r="T19" s="95"/>
      <c r="U19" s="95"/>
      <c r="V19" s="49"/>
      <c r="W19" s="95" t="s">
        <v>14</v>
      </c>
      <c r="X19" s="95"/>
      <c r="Y19" s="95"/>
      <c r="Z19" s="95"/>
      <c r="AA19" s="95"/>
    </row>
    <row r="20" spans="2:27" ht="3.95" customHeight="1" x14ac:dyDescent="0.2">
      <c r="B20" s="16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68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</row>
    <row r="21" spans="2:27" ht="15" customHeight="1" thickBot="1" x14ac:dyDescent="0.25">
      <c r="B21" s="16" t="s">
        <v>26</v>
      </c>
      <c r="D21" s="20"/>
      <c r="F21" s="20"/>
      <c r="H21" s="20"/>
      <c r="J21" s="20"/>
      <c r="L21" s="20"/>
      <c r="N21" s="20"/>
      <c r="O21" s="20"/>
      <c r="P21" s="68"/>
      <c r="Q21" s="20"/>
      <c r="S21" s="20"/>
      <c r="U21" s="20"/>
      <c r="W21" s="20"/>
      <c r="Y21" s="20"/>
      <c r="AA21" s="20"/>
    </row>
    <row r="22" spans="2:27" ht="15" customHeight="1" thickTop="1" x14ac:dyDescent="0.2">
      <c r="B22" s="17" t="s">
        <v>92</v>
      </c>
      <c r="C22" s="17" t="s">
        <v>2</v>
      </c>
      <c r="D22" s="27"/>
      <c r="F22" s="15">
        <v>390</v>
      </c>
      <c r="H22" s="4">
        <f>IF(ISNUMBER(D22),D22,F22)</f>
        <v>390</v>
      </c>
      <c r="J22" s="20"/>
      <c r="L22" s="20"/>
      <c r="N22" s="20"/>
      <c r="O22" s="20"/>
      <c r="P22" s="68"/>
      <c r="Q22" s="27"/>
      <c r="S22" s="15">
        <v>230</v>
      </c>
      <c r="U22" s="4">
        <f>IF(ISNUMBER(Q22),Q22,S22)</f>
        <v>230</v>
      </c>
      <c r="W22" s="20"/>
      <c r="Y22" s="20"/>
      <c r="AA22" s="20"/>
    </row>
    <row r="23" spans="2:27" ht="3.95" customHeight="1" thickBot="1" x14ac:dyDescent="0.25">
      <c r="D23" s="20"/>
      <c r="F23" s="20"/>
      <c r="H23" s="8"/>
      <c r="J23" s="20"/>
      <c r="L23" s="20"/>
      <c r="N23" s="8"/>
      <c r="O23" s="8"/>
      <c r="P23" s="65"/>
      <c r="Q23" s="20"/>
      <c r="S23" s="20"/>
      <c r="U23" s="8"/>
      <c r="W23" s="20"/>
      <c r="Y23" s="20"/>
      <c r="AA23" s="8"/>
    </row>
    <row r="24" spans="2:27" ht="15" customHeight="1" thickTop="1" x14ac:dyDescent="0.2">
      <c r="B24" s="17" t="s">
        <v>46</v>
      </c>
      <c r="C24" s="17" t="s">
        <v>157</v>
      </c>
      <c r="D24" s="27"/>
      <c r="F24" s="15">
        <v>350000</v>
      </c>
      <c r="H24" s="4">
        <f>IF(ISNUMBER(D24),D24,F24)</f>
        <v>350000</v>
      </c>
      <c r="J24" s="27"/>
      <c r="L24" s="15">
        <v>190000</v>
      </c>
      <c r="N24" s="4">
        <f>IF(ISNUMBER(J24),J24,L24)</f>
        <v>190000</v>
      </c>
      <c r="O24" s="8"/>
      <c r="P24" s="65"/>
      <c r="Q24" s="27"/>
      <c r="S24" s="15">
        <v>960000</v>
      </c>
      <c r="U24" s="4">
        <f>IF(ISNUMBER(Q24),Q24,S24)</f>
        <v>960000</v>
      </c>
      <c r="W24" s="27"/>
      <c r="Y24" s="15">
        <v>625000</v>
      </c>
      <c r="AA24" s="4">
        <f>IF(ISNUMBER(W24),W24,Y24)</f>
        <v>625000</v>
      </c>
    </row>
    <row r="25" spans="2:27" ht="3.95" customHeight="1" thickBot="1" x14ac:dyDescent="0.25">
      <c r="D25" s="8"/>
      <c r="F25" s="8"/>
      <c r="H25" s="8"/>
      <c r="J25" s="8"/>
      <c r="L25" s="8"/>
      <c r="N25" s="8"/>
      <c r="O25" s="8"/>
      <c r="P25" s="65"/>
      <c r="Q25" s="8"/>
      <c r="S25" s="8"/>
      <c r="U25" s="8"/>
      <c r="W25" s="8"/>
      <c r="Y25" s="8"/>
      <c r="AA25" s="8"/>
    </row>
    <row r="26" spans="2:27" ht="15" customHeight="1" thickTop="1" x14ac:dyDescent="0.2">
      <c r="B26" s="17" t="s">
        <v>170</v>
      </c>
      <c r="C26" s="17" t="s">
        <v>157</v>
      </c>
      <c r="D26" s="27"/>
      <c r="F26" s="15">
        <v>6000</v>
      </c>
      <c r="H26" s="4">
        <f>IF(ISNUMBER(D26),D26,F26)</f>
        <v>6000</v>
      </c>
      <c r="J26" s="27"/>
      <c r="L26" s="15">
        <v>6000</v>
      </c>
      <c r="N26" s="4">
        <f>IF(ISNUMBER(J26),J26,L26)</f>
        <v>6000</v>
      </c>
      <c r="O26" s="8"/>
      <c r="P26" s="65"/>
      <c r="Q26" s="27"/>
      <c r="S26" s="15">
        <v>6000</v>
      </c>
      <c r="U26" s="4">
        <f>IF(ISNUMBER(Q26),Q26,S26)</f>
        <v>6000</v>
      </c>
      <c r="W26" s="27"/>
      <c r="Y26" s="15">
        <v>6000</v>
      </c>
      <c r="AA26" s="4">
        <f>IF(ISNUMBER(W26),W26,Y26)</f>
        <v>6000</v>
      </c>
    </row>
    <row r="27" spans="2:27" ht="3.95" customHeight="1" thickBot="1" x14ac:dyDescent="0.25">
      <c r="D27" s="8"/>
      <c r="F27" s="8"/>
      <c r="H27" s="8"/>
      <c r="J27" s="8"/>
      <c r="L27" s="8"/>
      <c r="N27" s="8"/>
      <c r="O27" s="8"/>
      <c r="P27" s="65"/>
      <c r="Q27" s="8"/>
      <c r="S27" s="8"/>
      <c r="U27" s="8"/>
      <c r="W27" s="8"/>
      <c r="Y27" s="8"/>
      <c r="AA27" s="8"/>
    </row>
    <row r="28" spans="2:27" ht="15" customHeight="1" thickTop="1" x14ac:dyDescent="0.2">
      <c r="B28" s="17" t="s">
        <v>41</v>
      </c>
      <c r="C28" s="17" t="s">
        <v>45</v>
      </c>
      <c r="D28" s="27"/>
      <c r="F28" s="15">
        <v>5</v>
      </c>
      <c r="H28" s="4">
        <f>IF(ISNUMBER(D28),D28,F28)</f>
        <v>5</v>
      </c>
      <c r="J28" s="27"/>
      <c r="L28" s="15">
        <v>5</v>
      </c>
      <c r="N28" s="4">
        <f>IF(ISNUMBER(J28),J28,L28)</f>
        <v>5</v>
      </c>
      <c r="O28" s="8"/>
      <c r="P28" s="65"/>
      <c r="Q28" s="27"/>
      <c r="S28" s="15">
        <v>8</v>
      </c>
      <c r="U28" s="4">
        <f>IF(ISNUMBER(Q28),Q28,S28)</f>
        <v>8</v>
      </c>
      <c r="W28" s="27"/>
      <c r="Y28" s="15">
        <v>8</v>
      </c>
      <c r="AA28" s="4">
        <f>IF(ISNUMBER(W28),W28,Y28)</f>
        <v>8</v>
      </c>
    </row>
    <row r="29" spans="2:27" ht="3.95" customHeight="1" thickBot="1" x14ac:dyDescent="0.25">
      <c r="D29" s="20"/>
      <c r="F29" s="20"/>
      <c r="H29" s="8"/>
      <c r="J29" s="20"/>
      <c r="L29" s="20"/>
      <c r="N29" s="8"/>
      <c r="O29" s="8"/>
      <c r="P29" s="65"/>
      <c r="Q29" s="20"/>
      <c r="S29" s="20"/>
      <c r="U29" s="8"/>
      <c r="W29" s="20"/>
      <c r="Y29" s="20"/>
      <c r="AA29" s="8"/>
    </row>
    <row r="30" spans="2:27" ht="15" customHeight="1" thickTop="1" x14ac:dyDescent="0.2">
      <c r="B30" s="17" t="s">
        <v>42</v>
      </c>
      <c r="C30" s="17" t="s">
        <v>48</v>
      </c>
      <c r="D30" s="43"/>
      <c r="F30" s="37">
        <v>0.05</v>
      </c>
      <c r="H30" s="38">
        <f>IF(ISNUMBER(D30),D30,F30)</f>
        <v>0.05</v>
      </c>
      <c r="J30" s="43"/>
      <c r="L30" s="37">
        <v>0.05</v>
      </c>
      <c r="N30" s="38">
        <f>IF(ISNUMBER(J30),J30,L30)</f>
        <v>0.05</v>
      </c>
      <c r="O30" s="45"/>
      <c r="P30" s="69"/>
      <c r="Q30" s="43"/>
      <c r="S30" s="37">
        <v>0.05</v>
      </c>
      <c r="U30" s="38">
        <f>IF(ISNUMBER(Q30),Q30,S30)</f>
        <v>0.05</v>
      </c>
      <c r="W30" s="43"/>
      <c r="Y30" s="37">
        <v>0.05</v>
      </c>
      <c r="AA30" s="38">
        <f>IF(ISNUMBER(W30),W30,Y30)</f>
        <v>0.05</v>
      </c>
    </row>
    <row r="31" spans="2:27" ht="3.95" customHeight="1" x14ac:dyDescent="0.2">
      <c r="D31" s="21"/>
      <c r="F31" s="21"/>
      <c r="H31" s="8"/>
      <c r="J31" s="21"/>
      <c r="L31" s="21"/>
      <c r="N31" s="8"/>
      <c r="O31" s="8"/>
      <c r="P31" s="65"/>
      <c r="Q31" s="21"/>
      <c r="S31" s="21"/>
      <c r="U31" s="8"/>
      <c r="W31" s="21"/>
      <c r="Y31" s="21"/>
      <c r="AA31" s="8"/>
    </row>
    <row r="32" spans="2:27" ht="15" customHeight="1" x14ac:dyDescent="0.2">
      <c r="B32" s="17" t="s">
        <v>35</v>
      </c>
      <c r="C32" s="17" t="s">
        <v>158</v>
      </c>
      <c r="H32" s="34">
        <f>-PMT(H30,H28,H24+H26)</f>
        <v>82227.028133663451</v>
      </c>
      <c r="N32" s="34">
        <f>-PMT(N30,N28,N24+N26)</f>
        <v>45271.060433140548</v>
      </c>
      <c r="O32" s="10"/>
      <c r="P32" s="70"/>
      <c r="U32" s="34">
        <f>-PMT(U30,U28,U24+U26)</f>
        <v>149461.27196433998</v>
      </c>
      <c r="AA32" s="34">
        <f>-PMT(AA30,AA28,AA24+AA26)</f>
        <v>97629.464399066812</v>
      </c>
    </row>
    <row r="33" spans="2:28" ht="3.95" customHeight="1" thickBot="1" x14ac:dyDescent="0.25">
      <c r="H33" s="31"/>
      <c r="N33" s="31"/>
      <c r="O33" s="31"/>
      <c r="P33" s="71"/>
      <c r="U33" s="31"/>
      <c r="AA33" s="31"/>
    </row>
    <row r="34" spans="2:28" ht="15" customHeight="1" thickTop="1" x14ac:dyDescent="0.2">
      <c r="B34" s="17" t="s">
        <v>24</v>
      </c>
      <c r="C34" s="17" t="s">
        <v>157</v>
      </c>
      <c r="D34" s="27"/>
      <c r="F34" s="15">
        <v>5000</v>
      </c>
      <c r="H34" s="4">
        <f>IF(ISNUMBER(D34),D34,F34)</f>
        <v>5000</v>
      </c>
      <c r="J34" s="27"/>
      <c r="L34" s="15">
        <v>5000</v>
      </c>
      <c r="N34" s="4">
        <f>IF(ISNUMBER(J34),J34,L34)</f>
        <v>5000</v>
      </c>
      <c r="O34" s="8"/>
      <c r="P34" s="65"/>
      <c r="Q34" s="27"/>
      <c r="S34" s="15">
        <v>45000</v>
      </c>
      <c r="U34" s="4">
        <f>IF(ISNUMBER(Q34),Q34,S34)</f>
        <v>45000</v>
      </c>
      <c r="W34" s="27"/>
      <c r="Y34" s="15">
        <v>45000</v>
      </c>
      <c r="AA34" s="4">
        <f>IF(ISNUMBER(W34),W34,Y34)</f>
        <v>45000</v>
      </c>
    </row>
    <row r="35" spans="2:28" ht="3.95" customHeight="1" x14ac:dyDescent="0.2">
      <c r="D35" s="8"/>
      <c r="F35" s="8"/>
      <c r="H35" s="8"/>
      <c r="J35" s="8"/>
      <c r="L35" s="8"/>
      <c r="N35" s="8"/>
      <c r="O35" s="8"/>
      <c r="P35" s="65"/>
      <c r="Q35" s="8"/>
      <c r="S35" s="8"/>
      <c r="U35" s="8"/>
      <c r="W35" s="8"/>
      <c r="Y35" s="8"/>
      <c r="AA35" s="8"/>
    </row>
    <row r="36" spans="2:28" ht="15" customHeight="1" x14ac:dyDescent="0.2">
      <c r="B36" s="17" t="s">
        <v>49</v>
      </c>
      <c r="C36" s="17" t="s">
        <v>1</v>
      </c>
      <c r="H36" s="5">
        <f>H15*(H32-H34/H28)</f>
        <v>0</v>
      </c>
      <c r="N36" s="5">
        <f>H15*(N32-N34/N28)</f>
        <v>0</v>
      </c>
      <c r="O36" s="8"/>
      <c r="P36" s="65"/>
      <c r="U36" s="5">
        <f>U15*(U32-U34/U28)</f>
        <v>0</v>
      </c>
      <c r="AA36" s="5">
        <f>U15*(AA32-AA34/AA28)</f>
        <v>0</v>
      </c>
    </row>
    <row r="37" spans="2:28" ht="3.95" customHeight="1" x14ac:dyDescent="0.2">
      <c r="D37" s="8"/>
      <c r="F37" s="8"/>
      <c r="H37" s="8"/>
      <c r="J37" s="8"/>
      <c r="L37" s="8"/>
      <c r="N37" s="8"/>
      <c r="O37" s="8"/>
      <c r="P37" s="65"/>
      <c r="Q37" s="8"/>
      <c r="S37" s="8"/>
      <c r="U37" s="8"/>
      <c r="W37" s="8"/>
      <c r="Y37" s="8"/>
      <c r="AA37" s="8"/>
    </row>
    <row r="38" spans="2:28" ht="15" customHeight="1" thickBot="1" x14ac:dyDescent="0.25">
      <c r="B38" s="16" t="s">
        <v>57</v>
      </c>
      <c r="D38" s="8"/>
      <c r="F38" s="8"/>
      <c r="H38" s="8"/>
      <c r="J38" s="8"/>
      <c r="L38" s="8"/>
      <c r="N38" s="8"/>
      <c r="O38" s="8"/>
      <c r="P38" s="65"/>
      <c r="Q38" s="8"/>
      <c r="S38" s="8"/>
      <c r="U38" s="8"/>
      <c r="W38" s="8"/>
      <c r="Y38" s="8"/>
      <c r="AA38" s="8"/>
    </row>
    <row r="39" spans="2:28" ht="15" customHeight="1" thickTop="1" x14ac:dyDescent="0.2">
      <c r="B39" s="17" t="s">
        <v>58</v>
      </c>
      <c r="C39" s="17" t="s">
        <v>12</v>
      </c>
      <c r="D39" s="27"/>
      <c r="F39" s="41">
        <v>0.21</v>
      </c>
      <c r="H39" s="32">
        <f>IF(ISNUMBER(D39),D39,F39)</f>
        <v>0.21</v>
      </c>
      <c r="N39" s="8"/>
      <c r="O39" s="8"/>
      <c r="P39" s="65"/>
      <c r="Q39" s="27"/>
      <c r="S39" s="41">
        <v>0.32</v>
      </c>
      <c r="U39" s="32">
        <f>IF(ISNUMBER(Q39),Q39,S39)</f>
        <v>0.32</v>
      </c>
      <c r="AA39" s="8"/>
      <c r="AB39" s="12"/>
    </row>
    <row r="40" spans="2:28" ht="3.95" customHeight="1" x14ac:dyDescent="0.2">
      <c r="D40" s="22"/>
      <c r="F40" s="22"/>
      <c r="H40" s="8"/>
      <c r="J40" s="22"/>
      <c r="L40" s="22"/>
      <c r="N40" s="8"/>
      <c r="O40" s="8"/>
      <c r="P40" s="65"/>
      <c r="Q40" s="22"/>
      <c r="S40" s="22"/>
      <c r="U40" s="8"/>
      <c r="W40" s="22"/>
      <c r="Y40" s="22"/>
      <c r="AA40" s="8"/>
      <c r="AB40" s="12"/>
    </row>
    <row r="41" spans="2:28" ht="15" customHeight="1" x14ac:dyDescent="0.2">
      <c r="B41" s="17" t="s">
        <v>58</v>
      </c>
      <c r="C41" s="17" t="s">
        <v>159</v>
      </c>
      <c r="H41" s="34">
        <f>H39*H9</f>
        <v>26460</v>
      </c>
      <c r="N41" s="8"/>
      <c r="O41" s="8"/>
      <c r="P41" s="65"/>
      <c r="U41" s="34">
        <f>U39*U9</f>
        <v>40320</v>
      </c>
      <c r="AA41" s="8"/>
      <c r="AB41" s="12"/>
    </row>
    <row r="42" spans="2:28" ht="3.95" customHeight="1" thickBot="1" x14ac:dyDescent="0.25">
      <c r="H42" s="12"/>
      <c r="N42" s="12"/>
      <c r="O42" s="12"/>
      <c r="P42" s="72"/>
      <c r="U42" s="12"/>
      <c r="AA42" s="12"/>
      <c r="AB42" s="12"/>
    </row>
    <row r="43" spans="2:28" ht="15" customHeight="1" thickTop="1" x14ac:dyDescent="0.2">
      <c r="B43" s="17" t="s">
        <v>59</v>
      </c>
      <c r="C43" s="17" t="s">
        <v>165</v>
      </c>
      <c r="H43" s="8"/>
      <c r="J43" s="50"/>
      <c r="L43" s="39">
        <v>19.100000000000001</v>
      </c>
      <c r="N43" s="40">
        <f>IF(ISNUMBER(J43),J43,L43)</f>
        <v>19.100000000000001</v>
      </c>
      <c r="O43" s="63"/>
      <c r="P43" s="73"/>
      <c r="U43" s="8"/>
      <c r="W43" s="50"/>
      <c r="Y43" s="39">
        <v>10</v>
      </c>
      <c r="AA43" s="40">
        <f>IF(ISNUMBER(W43),W43,Y43)</f>
        <v>10</v>
      </c>
      <c r="AB43" s="12"/>
    </row>
    <row r="44" spans="2:28" ht="3.95" customHeight="1" x14ac:dyDescent="0.2">
      <c r="H44" s="8"/>
      <c r="N44" s="8"/>
      <c r="O44" s="8"/>
      <c r="P44" s="65"/>
      <c r="U44" s="8"/>
      <c r="AA44" s="8"/>
      <c r="AB44" s="12"/>
    </row>
    <row r="45" spans="2:28" ht="15" customHeight="1" x14ac:dyDescent="0.2">
      <c r="B45" s="17" t="s">
        <v>59</v>
      </c>
      <c r="C45" s="17" t="s">
        <v>9</v>
      </c>
      <c r="H45" s="8"/>
      <c r="N45" s="34">
        <f>$H9/N43</f>
        <v>6596.8586387434552</v>
      </c>
      <c r="O45" s="10"/>
      <c r="P45" s="70"/>
      <c r="U45" s="8"/>
      <c r="AA45" s="34">
        <f>$U9/AA43</f>
        <v>12600</v>
      </c>
      <c r="AB45" s="12"/>
    </row>
    <row r="46" spans="2:28" ht="3.95" customHeight="1" thickBot="1" x14ac:dyDescent="0.25">
      <c r="H46" s="8"/>
      <c r="N46" s="8"/>
      <c r="O46" s="8"/>
      <c r="P46" s="65"/>
      <c r="U46" s="8"/>
      <c r="AA46" s="8"/>
      <c r="AB46" s="12"/>
    </row>
    <row r="47" spans="2:28" ht="15" customHeight="1" thickTop="1" x14ac:dyDescent="0.2">
      <c r="B47" s="17" t="s">
        <v>60</v>
      </c>
      <c r="C47" s="17" t="s">
        <v>21</v>
      </c>
      <c r="H47" s="8"/>
      <c r="N47" s="8"/>
      <c r="O47" s="8"/>
      <c r="P47" s="65"/>
      <c r="Q47" s="51"/>
      <c r="S47" s="41">
        <v>7.4999999999999997E-2</v>
      </c>
      <c r="U47" s="32">
        <f>IF(ISNUMBER(Q47),Q47,S47)</f>
        <v>7.4999999999999997E-2</v>
      </c>
      <c r="AA47" s="8"/>
      <c r="AB47" s="12"/>
    </row>
    <row r="48" spans="2:28" ht="3.95" customHeight="1" x14ac:dyDescent="0.2">
      <c r="H48" s="8"/>
      <c r="N48" s="8"/>
      <c r="O48" s="8"/>
      <c r="P48" s="65"/>
      <c r="Q48" s="22"/>
      <c r="S48" s="22"/>
      <c r="U48" s="8"/>
      <c r="AA48" s="8"/>
      <c r="AB48" s="12"/>
    </row>
    <row r="49" spans="2:28" ht="15" customHeight="1" x14ac:dyDescent="0.2">
      <c r="B49" s="17" t="s">
        <v>60</v>
      </c>
      <c r="C49" s="17" t="s">
        <v>9</v>
      </c>
      <c r="H49" s="8"/>
      <c r="N49" s="8"/>
      <c r="O49" s="8"/>
      <c r="P49" s="65"/>
      <c r="U49" s="34">
        <f>U47*U11</f>
        <v>180</v>
      </c>
      <c r="AA49" s="8"/>
      <c r="AB49" s="12"/>
    </row>
    <row r="50" spans="2:28" ht="3.95" customHeight="1" x14ac:dyDescent="0.2">
      <c r="H50" s="8"/>
      <c r="N50" s="8"/>
      <c r="O50" s="8"/>
      <c r="P50" s="65"/>
      <c r="U50" s="8"/>
      <c r="AA50" s="8"/>
      <c r="AB50" s="12"/>
    </row>
    <row r="51" spans="2:28" ht="15" customHeight="1" thickBot="1" x14ac:dyDescent="0.25">
      <c r="B51" s="16" t="s">
        <v>64</v>
      </c>
      <c r="D51" s="20"/>
      <c r="F51" s="20"/>
      <c r="H51" s="20"/>
      <c r="J51" s="20"/>
      <c r="L51" s="20"/>
      <c r="N51" s="20"/>
      <c r="O51" s="20"/>
      <c r="P51" s="68"/>
      <c r="Q51" s="20"/>
      <c r="S51" s="20"/>
      <c r="U51" s="20"/>
      <c r="W51" s="20"/>
      <c r="Y51" s="20"/>
      <c r="AA51" s="20"/>
    </row>
    <row r="52" spans="2:28" ht="15" customHeight="1" thickTop="1" x14ac:dyDescent="0.2">
      <c r="B52" s="17" t="s">
        <v>25</v>
      </c>
      <c r="C52" s="17" t="s">
        <v>158</v>
      </c>
      <c r="D52" s="27"/>
      <c r="F52" s="15">
        <v>6000</v>
      </c>
      <c r="H52" s="4">
        <f>IF(ISNUMBER(D52),D52,F52)</f>
        <v>6000</v>
      </c>
      <c r="J52" s="27"/>
      <c r="L52" s="15">
        <v>6000</v>
      </c>
      <c r="N52" s="4">
        <f>IF(ISNUMBER(J52),J52,L52)</f>
        <v>6000</v>
      </c>
      <c r="O52" s="8"/>
      <c r="P52" s="65"/>
      <c r="Q52" s="27"/>
      <c r="S52" s="15">
        <v>6000</v>
      </c>
      <c r="U52" s="4">
        <f>IF(ISNUMBER(Q52),Q52,S52)</f>
        <v>6000</v>
      </c>
      <c r="W52" s="27"/>
      <c r="Y52" s="15">
        <v>6000</v>
      </c>
      <c r="AA52" s="4">
        <f>IF(ISNUMBER(W52),W52,Y52)</f>
        <v>6000</v>
      </c>
    </row>
    <row r="53" spans="2:28" ht="3.95" customHeight="1" thickBot="1" x14ac:dyDescent="0.25">
      <c r="D53" s="8"/>
      <c r="F53" s="8"/>
      <c r="H53" s="8"/>
      <c r="J53" s="8"/>
      <c r="L53" s="8"/>
      <c r="N53" s="8"/>
      <c r="O53" s="8"/>
      <c r="P53" s="65"/>
      <c r="Q53" s="8"/>
      <c r="S53" s="8"/>
      <c r="U53" s="8"/>
      <c r="W53" s="8"/>
      <c r="Y53" s="8"/>
      <c r="AA53" s="8"/>
    </row>
    <row r="54" spans="2:28" ht="15" customHeight="1" thickTop="1" x14ac:dyDescent="0.2">
      <c r="B54" s="17" t="s">
        <v>32</v>
      </c>
      <c r="C54" s="17" t="s">
        <v>158</v>
      </c>
      <c r="D54" s="27"/>
      <c r="F54" s="15">
        <v>700</v>
      </c>
      <c r="H54" s="4">
        <f>IF(ISNUMBER(D54),D54,F54)</f>
        <v>700</v>
      </c>
      <c r="J54" s="27"/>
      <c r="L54" s="15">
        <v>1260</v>
      </c>
      <c r="N54" s="4">
        <f>IF(ISNUMBER(J54),J54,L54)</f>
        <v>1260</v>
      </c>
      <c r="O54" s="8"/>
      <c r="P54" s="65"/>
      <c r="Q54" s="27"/>
      <c r="S54" s="15">
        <v>840</v>
      </c>
      <c r="U54" s="4">
        <f>IF(ISNUMBER(Q54),Q54,S54)</f>
        <v>840</v>
      </c>
      <c r="W54" s="27"/>
      <c r="Y54" s="15">
        <v>6000</v>
      </c>
      <c r="AA54" s="4">
        <f>IF(ISNUMBER(W54),W54,Y54)</f>
        <v>6000</v>
      </c>
    </row>
    <row r="55" spans="2:28" ht="3.95" customHeight="1" thickBot="1" x14ac:dyDescent="0.25">
      <c r="D55" s="8"/>
      <c r="F55" s="8"/>
      <c r="H55" s="8"/>
      <c r="J55" s="8"/>
      <c r="L55" s="8"/>
      <c r="N55" s="8"/>
      <c r="O55" s="8"/>
      <c r="P55" s="65"/>
      <c r="Q55" s="8"/>
      <c r="S55" s="8"/>
      <c r="U55" s="8"/>
      <c r="W55" s="8"/>
      <c r="Y55" s="8"/>
      <c r="AA55" s="8"/>
    </row>
    <row r="56" spans="2:28" ht="15" customHeight="1" thickTop="1" x14ac:dyDescent="0.2">
      <c r="B56" s="17" t="s">
        <v>33</v>
      </c>
      <c r="C56" s="17" t="s">
        <v>158</v>
      </c>
      <c r="D56" s="8"/>
      <c r="F56" s="8"/>
      <c r="H56" s="8"/>
      <c r="J56" s="27"/>
      <c r="L56" s="15">
        <v>1400</v>
      </c>
      <c r="N56" s="4">
        <f>IF(ISNUMBER(J56),J56,L56)</f>
        <v>1400</v>
      </c>
      <c r="O56" s="8"/>
      <c r="P56" s="65"/>
      <c r="Q56" s="8"/>
      <c r="S56" s="8"/>
      <c r="U56" s="8"/>
      <c r="W56" s="27"/>
      <c r="Y56" s="15">
        <v>2800</v>
      </c>
      <c r="AA56" s="4">
        <f>IF(ISNUMBER(W56),W56,Y56)</f>
        <v>2800</v>
      </c>
    </row>
    <row r="57" spans="2:28" ht="3.95" customHeight="1" x14ac:dyDescent="0.2">
      <c r="D57" s="8"/>
      <c r="F57" s="8"/>
      <c r="H57" s="8"/>
      <c r="J57" s="8"/>
      <c r="L57" s="8"/>
      <c r="N57" s="8"/>
      <c r="O57" s="8"/>
      <c r="P57" s="65"/>
      <c r="Q57" s="8"/>
      <c r="S57" s="8"/>
      <c r="U57" s="8"/>
      <c r="W57" s="8"/>
      <c r="Y57" s="8"/>
      <c r="AA57" s="8"/>
    </row>
    <row r="58" spans="2:28" ht="15" customHeight="1" x14ac:dyDescent="0.2">
      <c r="B58" s="17" t="s">
        <v>65</v>
      </c>
      <c r="C58" s="17" t="s">
        <v>1</v>
      </c>
      <c r="H58" s="5">
        <f>H15*(H52+H54+H56)</f>
        <v>0</v>
      </c>
      <c r="N58" s="5">
        <f>H15*(N52+N54+N56)</f>
        <v>0</v>
      </c>
      <c r="O58" s="8"/>
      <c r="P58" s="65"/>
      <c r="U58" s="5">
        <f>U15*(U52+U54+U56)</f>
        <v>0</v>
      </c>
      <c r="AA58" s="5">
        <f>U15*(AA52+AA54+AA56)</f>
        <v>0</v>
      </c>
    </row>
    <row r="59" spans="2:28" ht="3.95" customHeight="1" x14ac:dyDescent="0.2">
      <c r="H59" s="8"/>
      <c r="N59" s="8"/>
      <c r="O59" s="8"/>
      <c r="P59" s="65"/>
      <c r="U59" s="8"/>
      <c r="AA59" s="8"/>
    </row>
    <row r="60" spans="2:28" ht="15" customHeight="1" x14ac:dyDescent="0.2">
      <c r="B60" s="16" t="s">
        <v>62</v>
      </c>
      <c r="H60" s="17"/>
      <c r="N60" s="17"/>
      <c r="U60" s="17"/>
      <c r="AA60" s="17"/>
    </row>
    <row r="61" spans="2:28" ht="3.95" customHeight="1" thickBot="1" x14ac:dyDescent="0.25">
      <c r="B61" s="16"/>
      <c r="H61" s="17"/>
      <c r="N61" s="17"/>
      <c r="U61" s="17"/>
      <c r="AA61" s="17"/>
    </row>
    <row r="62" spans="2:28" ht="15" customHeight="1" thickTop="1" x14ac:dyDescent="0.2">
      <c r="B62" s="17" t="s">
        <v>29</v>
      </c>
      <c r="C62" s="17" t="s">
        <v>47</v>
      </c>
      <c r="D62" s="27"/>
      <c r="F62" s="15">
        <v>9000</v>
      </c>
      <c r="H62" s="4">
        <f>IF(ISNUMBER(D62),D62,F62)</f>
        <v>9000</v>
      </c>
      <c r="N62" s="17"/>
      <c r="Q62" s="27"/>
      <c r="S62" s="15">
        <v>9000</v>
      </c>
      <c r="U62" s="4">
        <f>IF(ISNUMBER(Q62),Q62,S62)</f>
        <v>9000</v>
      </c>
      <c r="AA62" s="17"/>
    </row>
    <row r="63" spans="2:28" ht="3.95" customHeight="1" thickBot="1" x14ac:dyDescent="0.25">
      <c r="D63" s="8"/>
      <c r="F63" s="8"/>
      <c r="H63" s="8"/>
      <c r="N63" s="17"/>
      <c r="Q63" s="8"/>
      <c r="S63" s="8"/>
      <c r="U63" s="8"/>
      <c r="AA63" s="17"/>
    </row>
    <row r="64" spans="2:28" ht="15" customHeight="1" thickTop="1" x14ac:dyDescent="0.2">
      <c r="B64" s="17" t="s">
        <v>51</v>
      </c>
      <c r="C64" s="17" t="s">
        <v>23</v>
      </c>
      <c r="D64" s="27"/>
      <c r="F64" s="15">
        <v>16</v>
      </c>
      <c r="H64" s="4">
        <f>IF(ISNUMBER(D64),D64,F64)</f>
        <v>16</v>
      </c>
      <c r="N64" s="17"/>
      <c r="Q64" s="27"/>
      <c r="S64" s="15">
        <v>16</v>
      </c>
      <c r="U64" s="4">
        <f>IF(ISNUMBER(Q64),Q64,S64)</f>
        <v>16</v>
      </c>
      <c r="AA64" s="17"/>
    </row>
    <row r="65" spans="2:27" ht="3.95" customHeight="1" thickBot="1" x14ac:dyDescent="0.25">
      <c r="D65" s="20"/>
      <c r="F65" s="20"/>
      <c r="H65" s="8"/>
      <c r="N65" s="17"/>
      <c r="Q65" s="20"/>
      <c r="S65" s="20"/>
      <c r="U65" s="8"/>
      <c r="AA65" s="17"/>
    </row>
    <row r="66" spans="2:27" ht="15" customHeight="1" thickTop="1" x14ac:dyDescent="0.2">
      <c r="B66" s="17" t="s">
        <v>28</v>
      </c>
      <c r="C66" s="17" t="s">
        <v>50</v>
      </c>
      <c r="D66" s="27"/>
      <c r="F66" s="15">
        <f>1280*1.25</f>
        <v>1600</v>
      </c>
      <c r="H66" s="4">
        <f>IF(ISNUMBER(D66),D66,F66)</f>
        <v>1600</v>
      </c>
      <c r="N66" s="17"/>
      <c r="Q66" s="27"/>
      <c r="S66" s="15">
        <f>1280*1.25</f>
        <v>1600</v>
      </c>
      <c r="U66" s="4">
        <f>IF(ISNUMBER(Q66),Q66,S66)</f>
        <v>1600</v>
      </c>
      <c r="AA66" s="17"/>
    </row>
    <row r="67" spans="2:27" ht="3.95" customHeight="1" x14ac:dyDescent="0.2">
      <c r="D67" s="20"/>
      <c r="F67" s="20"/>
      <c r="H67" s="8"/>
      <c r="N67" s="17"/>
      <c r="Q67" s="20"/>
      <c r="S67" s="20"/>
      <c r="U67" s="8"/>
      <c r="AA67" s="17"/>
    </row>
    <row r="68" spans="2:27" ht="15" customHeight="1" x14ac:dyDescent="0.2">
      <c r="B68" s="17" t="s">
        <v>28</v>
      </c>
      <c r="C68" s="17" t="s">
        <v>47</v>
      </c>
      <c r="H68" s="34">
        <f>H64*H66</f>
        <v>25600</v>
      </c>
      <c r="N68" s="17"/>
      <c r="U68" s="34">
        <f>U64*U66</f>
        <v>25600</v>
      </c>
      <c r="AA68" s="17"/>
    </row>
    <row r="69" spans="2:27" ht="3.95" customHeight="1" thickBot="1" x14ac:dyDescent="0.25">
      <c r="H69" s="6"/>
      <c r="N69" s="17"/>
      <c r="U69" s="6"/>
      <c r="AA69" s="17"/>
    </row>
    <row r="70" spans="2:27" ht="15" customHeight="1" thickTop="1" x14ac:dyDescent="0.2">
      <c r="B70" s="17" t="s">
        <v>27</v>
      </c>
      <c r="C70" s="17" t="s">
        <v>47</v>
      </c>
      <c r="D70" s="27"/>
      <c r="F70" s="15">
        <v>7000</v>
      </c>
      <c r="H70" s="4">
        <f>IF(ISNUMBER(D70),D70,F70)</f>
        <v>7000</v>
      </c>
      <c r="N70" s="17"/>
      <c r="Q70" s="27"/>
      <c r="S70" s="15">
        <v>7000</v>
      </c>
      <c r="U70" s="4">
        <f>IF(ISNUMBER(Q70),Q70,S70)</f>
        <v>7000</v>
      </c>
      <c r="AA70" s="17"/>
    </row>
    <row r="71" spans="2:27" ht="3.95" customHeight="1" thickBot="1" x14ac:dyDescent="0.25">
      <c r="D71" s="8"/>
      <c r="F71" s="8"/>
      <c r="H71" s="8"/>
      <c r="N71" s="17"/>
      <c r="Q71" s="8"/>
      <c r="S71" s="8"/>
      <c r="U71" s="8"/>
      <c r="AA71" s="17"/>
    </row>
    <row r="72" spans="2:27" ht="15" customHeight="1" thickTop="1" x14ac:dyDescent="0.2">
      <c r="B72" s="17" t="s">
        <v>40</v>
      </c>
      <c r="D72" s="27"/>
      <c r="F72" s="15">
        <v>5</v>
      </c>
      <c r="H72" s="4">
        <f>IF(ISNUMBER(D72),D72,F72)</f>
        <v>5</v>
      </c>
      <c r="N72" s="17"/>
      <c r="Q72" s="27"/>
      <c r="S72" s="15">
        <v>5</v>
      </c>
      <c r="U72" s="4">
        <f>IF(ISNUMBER(Q72),Q72,S72)</f>
        <v>5</v>
      </c>
      <c r="AA72" s="17"/>
    </row>
    <row r="73" spans="2:27" ht="3.95" customHeight="1" thickBot="1" x14ac:dyDescent="0.25">
      <c r="D73" s="20"/>
      <c r="F73" s="20"/>
      <c r="H73" s="8"/>
      <c r="N73" s="17"/>
      <c r="Q73" s="20"/>
      <c r="S73" s="20"/>
      <c r="U73" s="8"/>
      <c r="AA73" s="17"/>
    </row>
    <row r="74" spans="2:27" ht="15" customHeight="1" thickTop="1" x14ac:dyDescent="0.2">
      <c r="B74" s="17" t="s">
        <v>39</v>
      </c>
      <c r="D74" s="27"/>
      <c r="F74" s="37">
        <v>0.05</v>
      </c>
      <c r="H74" s="38">
        <f>IF(ISNUMBER(D74),D74,F74)</f>
        <v>0.05</v>
      </c>
      <c r="N74" s="17"/>
      <c r="Q74" s="27"/>
      <c r="S74" s="37">
        <v>0.05</v>
      </c>
      <c r="U74" s="38">
        <f>IF(ISNUMBER(Q74),Q74,S74)</f>
        <v>0.05</v>
      </c>
      <c r="AA74" s="17"/>
    </row>
    <row r="75" spans="2:27" ht="3.95" customHeight="1" x14ac:dyDescent="0.2">
      <c r="D75" s="21"/>
      <c r="F75" s="21"/>
      <c r="H75" s="8"/>
      <c r="N75" s="17"/>
      <c r="Q75" s="21"/>
      <c r="S75" s="21"/>
      <c r="U75" s="8"/>
      <c r="AA75" s="17"/>
    </row>
    <row r="76" spans="2:27" ht="15" customHeight="1" x14ac:dyDescent="0.2">
      <c r="B76" s="17" t="s">
        <v>35</v>
      </c>
      <c r="C76" s="17" t="s">
        <v>1</v>
      </c>
      <c r="H76" s="34">
        <f>-PMT(H74,H72,H62+H68+H70)</f>
        <v>9608.5516021359545</v>
      </c>
      <c r="N76" s="17"/>
      <c r="U76" s="34">
        <f>-PMT(U74,U72,U62+U68+U70)</f>
        <v>9608.5516021359545</v>
      </c>
      <c r="AA76" s="17"/>
    </row>
    <row r="77" spans="2:27" ht="3.95" customHeight="1" thickBot="1" x14ac:dyDescent="0.25">
      <c r="H77" s="7"/>
      <c r="N77" s="17"/>
      <c r="U77" s="7"/>
      <c r="AA77" s="17"/>
    </row>
    <row r="78" spans="2:27" ht="15" customHeight="1" thickTop="1" x14ac:dyDescent="0.2">
      <c r="B78" s="17" t="s">
        <v>37</v>
      </c>
      <c r="C78" s="17" t="s">
        <v>38</v>
      </c>
      <c r="D78" s="27"/>
      <c r="F78" s="15">
        <v>800</v>
      </c>
      <c r="H78" s="4">
        <f>IF(ISNUMBER(D78),D78,F78)</f>
        <v>800</v>
      </c>
      <c r="N78" s="17"/>
      <c r="Q78" s="27"/>
      <c r="S78" s="15">
        <v>800</v>
      </c>
      <c r="U78" s="4">
        <f>IF(ISNUMBER(Q78),Q78,S78)</f>
        <v>800</v>
      </c>
      <c r="AA78" s="17"/>
    </row>
    <row r="79" spans="2:27" ht="3.95" customHeight="1" x14ac:dyDescent="0.2">
      <c r="D79" s="8"/>
      <c r="F79" s="8"/>
      <c r="H79" s="8"/>
      <c r="N79" s="17"/>
      <c r="Q79" s="8"/>
      <c r="S79" s="8"/>
      <c r="U79" s="8"/>
      <c r="AA79" s="17"/>
    </row>
    <row r="80" spans="2:27" ht="15" customHeight="1" x14ac:dyDescent="0.2">
      <c r="B80" s="17" t="s">
        <v>37</v>
      </c>
      <c r="C80" s="17" t="s">
        <v>1</v>
      </c>
      <c r="H80" s="34">
        <f>12*H78</f>
        <v>9600</v>
      </c>
      <c r="N80" s="17"/>
      <c r="U80" s="34">
        <f>12*U78</f>
        <v>9600</v>
      </c>
      <c r="AA80" s="17"/>
    </row>
    <row r="81" spans="2:28" ht="3.95" customHeight="1" thickBot="1" x14ac:dyDescent="0.25">
      <c r="H81" s="8"/>
      <c r="N81" s="17"/>
      <c r="U81" s="8"/>
      <c r="AA81" s="17"/>
    </row>
    <row r="82" spans="2:28" ht="15" customHeight="1" thickTop="1" x14ac:dyDescent="0.2">
      <c r="B82" s="17" t="s">
        <v>36</v>
      </c>
      <c r="C82" s="17" t="s">
        <v>52</v>
      </c>
      <c r="D82" s="27"/>
      <c r="F82" s="15">
        <v>79</v>
      </c>
      <c r="H82" s="4">
        <f>IF(ISNUMBER(D82),D82,F82)</f>
        <v>79</v>
      </c>
      <c r="N82" s="17"/>
      <c r="Q82" s="27"/>
      <c r="S82" s="15">
        <v>79</v>
      </c>
      <c r="U82" s="4">
        <f>IF(ISNUMBER(Q82),Q82,S82)</f>
        <v>79</v>
      </c>
      <c r="AA82" s="17"/>
    </row>
    <row r="83" spans="2:28" ht="3.95" customHeight="1" x14ac:dyDescent="0.2">
      <c r="D83" s="8"/>
      <c r="F83" s="8"/>
      <c r="H83" s="8"/>
      <c r="N83" s="17"/>
      <c r="Q83" s="8"/>
      <c r="S83" s="8"/>
      <c r="U83" s="8"/>
      <c r="AA83" s="17"/>
    </row>
    <row r="84" spans="2:28" ht="15" customHeight="1" x14ac:dyDescent="0.2">
      <c r="B84" s="17" t="s">
        <v>36</v>
      </c>
      <c r="C84" s="17" t="s">
        <v>1</v>
      </c>
      <c r="H84" s="30">
        <f>12*H82</f>
        <v>948</v>
      </c>
      <c r="N84" s="17"/>
      <c r="U84" s="30">
        <f>12*U82</f>
        <v>948</v>
      </c>
      <c r="AA84" s="17"/>
    </row>
    <row r="85" spans="2:28" ht="3.95" customHeight="1" x14ac:dyDescent="0.2">
      <c r="H85" s="8"/>
      <c r="N85" s="17"/>
      <c r="U85" s="8"/>
      <c r="AA85" s="17"/>
    </row>
    <row r="86" spans="2:28" ht="15" customHeight="1" x14ac:dyDescent="0.2">
      <c r="B86" s="17" t="s">
        <v>63</v>
      </c>
      <c r="C86" s="17" t="s">
        <v>1</v>
      </c>
      <c r="H86" s="5">
        <f>IF(H15=0,0,H15*(H76+H80)+H84)</f>
        <v>0</v>
      </c>
      <c r="N86" s="17"/>
      <c r="U86" s="5">
        <f>IF(U15=0,0,U15*(U76+U80)+U84)</f>
        <v>0</v>
      </c>
      <c r="AA86" s="17"/>
    </row>
    <row r="87" spans="2:28" ht="3.95" customHeight="1" x14ac:dyDescent="0.2">
      <c r="H87" s="8"/>
      <c r="N87" s="8"/>
      <c r="O87" s="8"/>
      <c r="P87" s="65"/>
      <c r="U87" s="8"/>
      <c r="AA87" s="8"/>
    </row>
    <row r="88" spans="2:28" ht="15" customHeight="1" thickBot="1" x14ac:dyDescent="0.25">
      <c r="B88" s="16" t="s">
        <v>30</v>
      </c>
      <c r="D88" s="20"/>
      <c r="F88" s="20"/>
      <c r="H88" s="20"/>
      <c r="J88" s="20"/>
      <c r="L88" s="20"/>
      <c r="N88" s="20"/>
      <c r="O88" s="20"/>
      <c r="P88" s="68"/>
      <c r="Q88" s="20"/>
      <c r="S88" s="20"/>
      <c r="U88" s="20"/>
      <c r="W88" s="20"/>
      <c r="Y88" s="20"/>
      <c r="AA88" s="20"/>
    </row>
    <row r="89" spans="2:28" ht="15" customHeight="1" thickTop="1" x14ac:dyDescent="0.2">
      <c r="B89" s="17" t="s">
        <v>54</v>
      </c>
      <c r="C89" s="17" t="s">
        <v>7</v>
      </c>
      <c r="D89" s="27"/>
      <c r="F89" s="41">
        <v>2.25</v>
      </c>
      <c r="H89" s="32">
        <f>IF(ISNUMBER(D89),D89,F89)</f>
        <v>2.25</v>
      </c>
      <c r="J89" s="20"/>
      <c r="L89" s="20"/>
      <c r="N89" s="20"/>
      <c r="O89" s="20"/>
      <c r="P89" s="68"/>
      <c r="Q89" s="27"/>
      <c r="S89" s="41">
        <v>2.25</v>
      </c>
      <c r="U89" s="32">
        <f>IF(ISNUMBER(Q89),Q89,S89)</f>
        <v>2.25</v>
      </c>
      <c r="W89" s="20"/>
      <c r="Y89" s="20"/>
      <c r="AA89" s="20"/>
      <c r="AB89" s="12"/>
    </row>
    <row r="90" spans="2:28" ht="3.95" customHeight="1" thickBot="1" x14ac:dyDescent="0.25">
      <c r="D90" s="22"/>
      <c r="F90" s="22"/>
      <c r="H90" s="8"/>
      <c r="J90" s="22"/>
      <c r="L90" s="22"/>
      <c r="N90" s="8"/>
      <c r="O90" s="8"/>
      <c r="P90" s="65"/>
      <c r="Q90" s="22"/>
      <c r="S90" s="22"/>
      <c r="U90" s="8"/>
      <c r="W90" s="22"/>
      <c r="Y90" s="22"/>
      <c r="AA90" s="8"/>
      <c r="AB90" s="12"/>
    </row>
    <row r="91" spans="2:28" ht="15" customHeight="1" thickTop="1" x14ac:dyDescent="0.2">
      <c r="B91" s="17" t="s">
        <v>55</v>
      </c>
      <c r="C91" s="17" t="s">
        <v>7</v>
      </c>
      <c r="D91" s="27"/>
      <c r="F91" s="41">
        <v>0.89500000000000002</v>
      </c>
      <c r="H91" s="32">
        <f>IF(ISNUMBER(D91),D91,F91)</f>
        <v>0.89500000000000002</v>
      </c>
      <c r="J91" s="22"/>
      <c r="L91" s="22"/>
      <c r="N91" s="8"/>
      <c r="O91" s="8"/>
      <c r="P91" s="65"/>
      <c r="Q91" s="27"/>
      <c r="S91" s="41">
        <v>0.89500000000000002</v>
      </c>
      <c r="U91" s="32">
        <f>IF(ISNUMBER(Q91),Q91,S91)</f>
        <v>0.89500000000000002</v>
      </c>
      <c r="W91" s="22"/>
      <c r="Y91" s="22"/>
      <c r="AA91" s="8"/>
      <c r="AB91" s="12"/>
    </row>
    <row r="92" spans="2:28" ht="3.95" customHeight="1" x14ac:dyDescent="0.2">
      <c r="D92" s="22"/>
      <c r="F92" s="22"/>
      <c r="H92" s="8"/>
      <c r="J92" s="22"/>
      <c r="L92" s="22"/>
      <c r="N92" s="8"/>
      <c r="O92" s="8"/>
      <c r="P92" s="65"/>
      <c r="Q92" s="22"/>
      <c r="S92" s="22"/>
      <c r="U92" s="8"/>
      <c r="W92" s="22"/>
      <c r="Y92" s="22"/>
      <c r="AA92" s="8"/>
      <c r="AB92" s="12"/>
    </row>
    <row r="93" spans="2:28" ht="15" customHeight="1" x14ac:dyDescent="0.2">
      <c r="B93" s="17" t="s">
        <v>34</v>
      </c>
      <c r="C93" s="17" t="s">
        <v>0</v>
      </c>
      <c r="H93" s="42">
        <f>H22/$H5</f>
        <v>0.9285714285714286</v>
      </c>
      <c r="N93" s="8"/>
      <c r="O93" s="8"/>
      <c r="P93" s="65"/>
      <c r="U93" s="42">
        <f>U22/$U5</f>
        <v>0.54761904761904767</v>
      </c>
      <c r="AA93" s="8"/>
    </row>
    <row r="94" spans="2:28" ht="3.95" customHeight="1" x14ac:dyDescent="0.2">
      <c r="H94" s="9"/>
      <c r="N94" s="9"/>
      <c r="O94" s="9"/>
      <c r="P94" s="75"/>
      <c r="U94" s="9"/>
      <c r="AA94" s="9"/>
    </row>
    <row r="95" spans="2:28" ht="15" customHeight="1" x14ac:dyDescent="0.2">
      <c r="B95" s="17" t="s">
        <v>56</v>
      </c>
      <c r="C95" s="17" t="s">
        <v>159</v>
      </c>
      <c r="H95" s="34">
        <f>H41*H93*(1+H97)</f>
        <v>27518.400000000001</v>
      </c>
      <c r="N95" s="9"/>
      <c r="O95" s="9"/>
      <c r="P95" s="75"/>
      <c r="U95" s="34">
        <f>U41*U93*(1+U97)</f>
        <v>24729.600000000006</v>
      </c>
      <c r="AA95" s="9"/>
    </row>
    <row r="96" spans="2:28" ht="3.95" customHeight="1" thickBot="1" x14ac:dyDescent="0.25">
      <c r="H96" s="8"/>
      <c r="N96" s="8"/>
      <c r="O96" s="8"/>
      <c r="P96" s="65"/>
      <c r="U96" s="8"/>
      <c r="AA96" s="8"/>
    </row>
    <row r="97" spans="2:28" ht="15" customHeight="1" thickTop="1" x14ac:dyDescent="0.2">
      <c r="B97" s="17" t="s">
        <v>53</v>
      </c>
      <c r="C97" s="17" t="s">
        <v>0</v>
      </c>
      <c r="D97" s="43"/>
      <c r="F97" s="37">
        <v>0.12</v>
      </c>
      <c r="H97" s="44">
        <f>IF(ISNUMBER(D97),D97,F97)</f>
        <v>0.12</v>
      </c>
      <c r="N97" s="8"/>
      <c r="O97" s="8"/>
      <c r="P97" s="65"/>
      <c r="Q97" s="43"/>
      <c r="S97" s="37">
        <v>0.12</v>
      </c>
      <c r="U97" s="44">
        <f>IF(ISNUMBER(Q97),Q97,S97)</f>
        <v>0.12</v>
      </c>
      <c r="AA97" s="8"/>
      <c r="AB97" s="12"/>
    </row>
    <row r="98" spans="2:28" ht="3.95" customHeight="1" x14ac:dyDescent="0.2">
      <c r="D98" s="9"/>
      <c r="F98" s="9"/>
      <c r="H98" s="8"/>
      <c r="J98" s="9"/>
      <c r="L98" s="9"/>
      <c r="N98" s="8"/>
      <c r="O98" s="8"/>
      <c r="P98" s="65"/>
      <c r="Q98" s="9"/>
      <c r="S98" s="9"/>
      <c r="U98" s="8"/>
      <c r="W98" s="9"/>
      <c r="Y98" s="9"/>
      <c r="AA98" s="8"/>
      <c r="AB98" s="12"/>
    </row>
    <row r="99" spans="2:28" ht="15" customHeight="1" x14ac:dyDescent="0.2">
      <c r="B99" s="17" t="s">
        <v>66</v>
      </c>
      <c r="C99" s="17" t="s">
        <v>1</v>
      </c>
      <c r="H99" s="5">
        <f>H15*(H95*(H89-H91))</f>
        <v>0</v>
      </c>
      <c r="N99" s="8"/>
      <c r="O99" s="8"/>
      <c r="P99" s="65"/>
      <c r="U99" s="5">
        <f>U15*(U95*(U89-U91))</f>
        <v>0</v>
      </c>
      <c r="AA99" s="8"/>
    </row>
    <row r="100" spans="2:28" ht="3.95" customHeight="1" x14ac:dyDescent="0.2">
      <c r="H100" s="8"/>
      <c r="N100" s="8"/>
      <c r="O100" s="8"/>
      <c r="P100" s="65"/>
      <c r="U100" s="8"/>
      <c r="AA100" s="8"/>
    </row>
    <row r="101" spans="2:28" ht="15" customHeight="1" x14ac:dyDescent="0.2">
      <c r="B101" s="16" t="s">
        <v>31</v>
      </c>
      <c r="H101" s="17"/>
      <c r="N101" s="17"/>
      <c r="U101" s="17"/>
      <c r="AA101" s="17"/>
    </row>
    <row r="102" spans="2:28" ht="15" customHeight="1" x14ac:dyDescent="0.2">
      <c r="B102" s="17" t="s">
        <v>34</v>
      </c>
      <c r="C102" s="17" t="s">
        <v>0</v>
      </c>
      <c r="H102" s="42">
        <f>1-H93</f>
        <v>7.1428571428571397E-2</v>
      </c>
      <c r="N102" s="17"/>
      <c r="U102" s="42">
        <f>1-U93</f>
        <v>0.45238095238095233</v>
      </c>
      <c r="AA102" s="17"/>
    </row>
    <row r="103" spans="2:28" ht="3.95" customHeight="1" thickBot="1" x14ac:dyDescent="0.25">
      <c r="H103" s="9"/>
      <c r="N103" s="9"/>
      <c r="O103" s="9"/>
      <c r="P103" s="75"/>
      <c r="U103" s="9"/>
      <c r="AA103" s="9"/>
    </row>
    <row r="104" spans="2:28" ht="15" customHeight="1" thickTop="1" x14ac:dyDescent="0.2">
      <c r="B104" s="17" t="s">
        <v>97</v>
      </c>
      <c r="C104" s="17" t="s">
        <v>20</v>
      </c>
      <c r="D104" s="27"/>
      <c r="F104" s="15">
        <f>520</f>
        <v>520</v>
      </c>
      <c r="H104" s="4">
        <f>IF(ISNUMBER(D104),D104,F104)</f>
        <v>520</v>
      </c>
      <c r="N104" s="9"/>
      <c r="O104" s="9"/>
      <c r="P104" s="75"/>
      <c r="Q104" s="27"/>
      <c r="S104" s="15">
        <v>300</v>
      </c>
      <c r="U104" s="4">
        <f>IF(ISNUMBER(Q104),Q104,S104)</f>
        <v>300</v>
      </c>
      <c r="AA104" s="9"/>
    </row>
    <row r="105" spans="2:28" ht="3.95" customHeight="1" x14ac:dyDescent="0.2">
      <c r="D105" s="8"/>
      <c r="F105" s="8"/>
      <c r="H105" s="8"/>
      <c r="J105" s="8"/>
      <c r="L105" s="8"/>
      <c r="N105" s="8"/>
      <c r="O105" s="8"/>
      <c r="P105" s="65"/>
      <c r="Q105" s="8"/>
      <c r="S105" s="8"/>
      <c r="U105" s="8"/>
      <c r="W105" s="8"/>
      <c r="Y105" s="8"/>
      <c r="AA105" s="8"/>
    </row>
    <row r="106" spans="2:28" ht="15" customHeight="1" x14ac:dyDescent="0.2">
      <c r="B106" s="17" t="s">
        <v>98</v>
      </c>
      <c r="C106" s="17" t="s">
        <v>99</v>
      </c>
      <c r="H106" s="30">
        <f>($H5-H22)/H104*60</f>
        <v>3.4615384615384617</v>
      </c>
      <c r="J106" s="8"/>
      <c r="L106" s="8"/>
      <c r="N106" s="8"/>
      <c r="O106" s="8"/>
      <c r="P106" s="65"/>
      <c r="U106" s="30">
        <f>($U5-U22)/U104*60</f>
        <v>38</v>
      </c>
      <c r="W106" s="8"/>
      <c r="Y106" s="8"/>
      <c r="AA106" s="8"/>
    </row>
    <row r="107" spans="2:28" ht="3.95" customHeight="1" thickBot="1" x14ac:dyDescent="0.25">
      <c r="H107" s="11"/>
      <c r="N107" s="11"/>
      <c r="O107" s="11"/>
      <c r="P107" s="66"/>
      <c r="U107" s="11"/>
      <c r="AA107" s="11"/>
    </row>
    <row r="108" spans="2:28" ht="15" customHeight="1" thickTop="1" x14ac:dyDescent="0.2">
      <c r="B108" s="17" t="s">
        <v>54</v>
      </c>
      <c r="C108" s="17" t="s">
        <v>7</v>
      </c>
      <c r="D108" s="51"/>
      <c r="F108" s="41">
        <v>3.9736666666666665</v>
      </c>
      <c r="H108" s="32">
        <f>IF(ISNUMBER(D108),D108,F108)</f>
        <v>3.9736666666666665</v>
      </c>
      <c r="N108" s="11"/>
      <c r="O108" s="11"/>
      <c r="P108" s="66"/>
      <c r="Q108" s="51"/>
      <c r="S108" s="41">
        <v>3.9736666666666665</v>
      </c>
      <c r="U108" s="32">
        <f>IF(ISNUMBER(Q108),Q108,S108)</f>
        <v>3.9736666666666665</v>
      </c>
      <c r="AA108" s="11"/>
      <c r="AB108" s="12"/>
    </row>
    <row r="109" spans="2:28" ht="3.95" customHeight="1" x14ac:dyDescent="0.2">
      <c r="D109" s="23"/>
      <c r="F109" s="23"/>
      <c r="H109" s="33"/>
      <c r="J109" s="23"/>
      <c r="L109" s="23"/>
      <c r="N109" s="33"/>
      <c r="O109" s="33"/>
      <c r="P109" s="76"/>
      <c r="Q109" s="23"/>
      <c r="S109" s="23"/>
      <c r="U109" s="33"/>
      <c r="W109" s="23"/>
      <c r="Y109" s="23"/>
      <c r="AA109" s="33"/>
      <c r="AB109" s="12"/>
    </row>
    <row r="110" spans="2:28" ht="15" customHeight="1" x14ac:dyDescent="0.2">
      <c r="B110" s="17" t="s">
        <v>11</v>
      </c>
      <c r="C110" s="17" t="s">
        <v>159</v>
      </c>
      <c r="H110" s="34">
        <f>H102*H41</f>
        <v>1889.9999999999991</v>
      </c>
      <c r="N110" s="33"/>
      <c r="O110" s="33"/>
      <c r="P110" s="76"/>
      <c r="U110" s="34">
        <f>U102*U41</f>
        <v>18239.999999999996</v>
      </c>
      <c r="AA110" s="33"/>
      <c r="AB110" s="12"/>
    </row>
    <row r="111" spans="2:28" ht="3.95" customHeight="1" x14ac:dyDescent="0.2">
      <c r="H111" s="12"/>
      <c r="N111" s="12"/>
      <c r="O111" s="12"/>
      <c r="P111" s="72"/>
      <c r="U111" s="12"/>
      <c r="AA111" s="12"/>
      <c r="AB111" s="12"/>
    </row>
    <row r="112" spans="2:28" ht="15" customHeight="1" x14ac:dyDescent="0.2">
      <c r="B112" s="17" t="s">
        <v>67</v>
      </c>
      <c r="C112" s="17" t="s">
        <v>1</v>
      </c>
      <c r="H112" s="5">
        <f>H15*(H108*H110)</f>
        <v>0</v>
      </c>
      <c r="N112" s="12"/>
      <c r="O112" s="12"/>
      <c r="P112" s="72"/>
      <c r="U112" s="5">
        <f>U15*(U108*U110)</f>
        <v>0</v>
      </c>
      <c r="AA112" s="12"/>
    </row>
    <row r="113" spans="2:28" ht="3.95" customHeight="1" x14ac:dyDescent="0.2">
      <c r="H113" s="8"/>
      <c r="N113" s="8"/>
      <c r="O113" s="8"/>
      <c r="P113" s="65"/>
      <c r="U113" s="8"/>
      <c r="AA113" s="8"/>
    </row>
    <row r="114" spans="2:28" ht="15" customHeight="1" x14ac:dyDescent="0.2">
      <c r="B114" s="16" t="s">
        <v>120</v>
      </c>
      <c r="H114" s="8"/>
      <c r="N114" s="8"/>
      <c r="O114" s="8"/>
      <c r="P114" s="65"/>
      <c r="U114" s="8"/>
      <c r="AA114" s="8"/>
    </row>
    <row r="115" spans="2:28" ht="3.95" customHeight="1" thickBot="1" x14ac:dyDescent="0.25">
      <c r="H115" s="11"/>
      <c r="N115" s="11"/>
      <c r="O115" s="11"/>
      <c r="P115" s="66"/>
      <c r="U115" s="11"/>
      <c r="AA115" s="11"/>
    </row>
    <row r="116" spans="2:28" ht="15" customHeight="1" thickTop="1" x14ac:dyDescent="0.2">
      <c r="B116" s="17" t="s">
        <v>121</v>
      </c>
      <c r="C116" s="17" t="s">
        <v>3</v>
      </c>
      <c r="D116" s="27"/>
      <c r="H116" s="4">
        <f>D116</f>
        <v>0</v>
      </c>
      <c r="N116" s="11"/>
      <c r="O116" s="11"/>
      <c r="P116" s="66"/>
      <c r="Q116" s="27"/>
      <c r="U116" s="4">
        <f>Q116</f>
        <v>0</v>
      </c>
      <c r="AA116" s="11"/>
      <c r="AB116" s="12"/>
    </row>
    <row r="117" spans="2:28" ht="3.95" customHeight="1" thickBot="1" x14ac:dyDescent="0.25">
      <c r="H117" s="11"/>
      <c r="N117" s="11"/>
      <c r="O117" s="11"/>
      <c r="P117" s="66"/>
      <c r="U117" s="11"/>
      <c r="AA117" s="11"/>
    </row>
    <row r="118" spans="2:28" ht="15" customHeight="1" thickTop="1" x14ac:dyDescent="0.2">
      <c r="B118" s="17" t="s">
        <v>144</v>
      </c>
      <c r="C118" s="17" t="s">
        <v>145</v>
      </c>
      <c r="D118" s="27"/>
      <c r="H118" s="4">
        <f>D118</f>
        <v>0</v>
      </c>
      <c r="N118" s="11"/>
      <c r="O118" s="11"/>
      <c r="P118" s="66"/>
      <c r="Q118" s="27"/>
      <c r="U118" s="4">
        <f>Q118</f>
        <v>0</v>
      </c>
      <c r="AA118" s="11"/>
      <c r="AB118" s="12"/>
    </row>
    <row r="119" spans="2:28" ht="3.95" customHeight="1" thickBot="1" x14ac:dyDescent="0.25">
      <c r="D119" s="54"/>
      <c r="F119" s="33"/>
      <c r="H119" s="33"/>
      <c r="N119" s="11"/>
      <c r="O119" s="11"/>
      <c r="P119" s="66"/>
      <c r="Q119" s="54"/>
      <c r="S119" s="33"/>
      <c r="U119" s="33"/>
      <c r="AA119" s="11"/>
      <c r="AB119" s="12"/>
    </row>
    <row r="120" spans="2:28" ht="15" customHeight="1" thickTop="1" x14ac:dyDescent="0.2">
      <c r="B120" s="17" t="s">
        <v>122</v>
      </c>
      <c r="C120" s="17" t="s">
        <v>166</v>
      </c>
      <c r="D120" s="27"/>
      <c r="F120" s="33"/>
      <c r="H120" s="4">
        <f>D120</f>
        <v>0</v>
      </c>
      <c r="J120" s="11"/>
      <c r="L120" s="11"/>
      <c r="N120" s="11"/>
      <c r="O120" s="11"/>
      <c r="P120" s="66"/>
      <c r="Q120" s="27"/>
      <c r="S120" s="33"/>
      <c r="U120" s="4">
        <f>Q120</f>
        <v>0</v>
      </c>
      <c r="W120" s="11"/>
      <c r="Y120" s="11"/>
      <c r="AA120" s="11"/>
    </row>
    <row r="121" spans="2:28" ht="3.95" customHeight="1" thickBot="1" x14ac:dyDescent="0.25">
      <c r="H121" s="11"/>
      <c r="N121" s="11"/>
      <c r="O121" s="11"/>
      <c r="P121" s="66"/>
      <c r="U121" s="11"/>
      <c r="AA121" s="11"/>
    </row>
    <row r="122" spans="2:28" ht="15" customHeight="1" thickTop="1" x14ac:dyDescent="0.2">
      <c r="B122" s="17" t="s">
        <v>122</v>
      </c>
      <c r="C122" s="17" t="s">
        <v>16</v>
      </c>
      <c r="D122" s="27"/>
      <c r="F122" s="15">
        <f>IFERROR(INDEX(Lader,MATCH(D120,kW,0),1),0)</f>
        <v>0</v>
      </c>
      <c r="H122" s="4">
        <f>IF(ISNUMBER(D122),D122,F122)</f>
        <v>0</v>
      </c>
      <c r="N122" s="11"/>
      <c r="O122" s="11"/>
      <c r="P122" s="66"/>
      <c r="Q122" s="27"/>
      <c r="S122" s="15">
        <f>IFERROR(INDEX(Lader,MATCH(Q120,kW,0),1),0)</f>
        <v>0</v>
      </c>
      <c r="U122" s="4">
        <f>IF(ISNUMBER(Q122),Q122,S122)</f>
        <v>0</v>
      </c>
      <c r="AA122" s="11"/>
      <c r="AB122" s="12"/>
    </row>
    <row r="123" spans="2:28" ht="3.95" customHeight="1" x14ac:dyDescent="0.2">
      <c r="D123" s="11"/>
      <c r="F123" s="11"/>
      <c r="H123" s="11"/>
      <c r="J123" s="11"/>
      <c r="L123" s="11"/>
      <c r="N123" s="11"/>
      <c r="O123" s="11"/>
      <c r="P123" s="66"/>
      <c r="Q123" s="11"/>
      <c r="S123" s="11"/>
      <c r="U123" s="11"/>
      <c r="W123" s="11"/>
      <c r="Y123" s="11"/>
      <c r="AA123" s="11"/>
    </row>
    <row r="124" spans="2:28" ht="15" customHeight="1" x14ac:dyDescent="0.2">
      <c r="B124" s="17" t="s">
        <v>122</v>
      </c>
      <c r="C124" s="17" t="s">
        <v>136</v>
      </c>
      <c r="H124" s="34">
        <f>H118*H122</f>
        <v>0</v>
      </c>
      <c r="N124" s="33"/>
      <c r="O124" s="33"/>
      <c r="P124" s="76"/>
      <c r="U124" s="34">
        <f>U118*U122</f>
        <v>0</v>
      </c>
      <c r="AA124" s="33"/>
      <c r="AB124" s="12"/>
    </row>
    <row r="125" spans="2:28" ht="3.95" customHeight="1" thickBot="1" x14ac:dyDescent="0.25">
      <c r="H125" s="11"/>
      <c r="N125" s="11"/>
      <c r="O125" s="11"/>
      <c r="P125" s="66"/>
      <c r="U125" s="11"/>
      <c r="AA125" s="11"/>
    </row>
    <row r="126" spans="2:28" ht="15" customHeight="1" thickTop="1" x14ac:dyDescent="0.2">
      <c r="B126" s="17" t="s">
        <v>135</v>
      </c>
      <c r="C126" s="17" t="s">
        <v>136</v>
      </c>
      <c r="D126" s="27"/>
      <c r="F126" s="15">
        <f>IF(H118&gt;0,INDEX(Lader,MATCH(H120,kW,0),2)+(H118-1)*INDEX(Lader,MATCH(H120,kW,0),3),0)</f>
        <v>0</v>
      </c>
      <c r="H126" s="4">
        <f>IF(ISNUMBER(D126),D126,F126)</f>
        <v>0</v>
      </c>
      <c r="N126" s="11"/>
      <c r="O126" s="11"/>
      <c r="P126" s="66"/>
      <c r="Q126" s="27"/>
      <c r="S126" s="15">
        <f>IF(U118&gt;0,INDEX(Lader,MATCH(U120,kW,0),2)+(U118-1)*INDEX(Lader,MATCH(U120,kW,0),3),0)</f>
        <v>0</v>
      </c>
      <c r="U126" s="4">
        <f>IF(ISNUMBER(Q126),Q126,S126)</f>
        <v>0</v>
      </c>
      <c r="AA126" s="11"/>
      <c r="AB126" s="12"/>
    </row>
    <row r="127" spans="2:28" ht="3.95" customHeight="1" thickBot="1" x14ac:dyDescent="0.25">
      <c r="H127" s="12"/>
      <c r="N127" s="12"/>
      <c r="O127" s="12"/>
      <c r="P127" s="72"/>
      <c r="U127" s="12"/>
      <c r="AA127" s="12"/>
      <c r="AB127" s="12"/>
    </row>
    <row r="128" spans="2:28" ht="15" customHeight="1" thickTop="1" x14ac:dyDescent="0.2">
      <c r="B128" s="17" t="s">
        <v>28</v>
      </c>
      <c r="C128" s="17" t="s">
        <v>137</v>
      </c>
      <c r="D128" s="27"/>
      <c r="F128" s="15">
        <f>IF(H118&gt;0,INDEX(AmpMat1,MATCH('TCO-model, flextrafik'!H120,kW,0),MATCH('TCO-model, flextrafik'!H118,LadMat1,-1)),0)</f>
        <v>0</v>
      </c>
      <c r="H128" s="4">
        <f>IF(ISNUMBER(D128),D128,F128)</f>
        <v>0</v>
      </c>
      <c r="N128" s="11"/>
      <c r="O128" s="11"/>
      <c r="P128" s="66"/>
      <c r="Q128" s="27"/>
      <c r="S128" s="15">
        <f>IF(U118&gt;0,INDEX(AmpMat1,MATCH('TCO-model, flextrafik'!U120,kW,0),MATCH('TCO-model, flextrafik'!U118,LadMat1,-1)),0)</f>
        <v>0</v>
      </c>
      <c r="U128" s="4">
        <f>IF(ISNUMBER(Q128),Q128,S128)</f>
        <v>0</v>
      </c>
      <c r="AA128" s="11"/>
      <c r="AB128" s="12"/>
    </row>
    <row r="129" spans="2:28" ht="3.95" customHeight="1" thickBot="1" x14ac:dyDescent="0.25">
      <c r="D129" s="20"/>
      <c r="F129" s="20"/>
      <c r="H129" s="8"/>
      <c r="N129" s="17"/>
      <c r="Q129" s="20"/>
      <c r="S129" s="20"/>
      <c r="U129" s="8"/>
      <c r="AA129" s="17"/>
    </row>
    <row r="130" spans="2:28" ht="15" customHeight="1" thickTop="1" x14ac:dyDescent="0.2">
      <c r="B130" s="17" t="s">
        <v>28</v>
      </c>
      <c r="C130" s="17" t="s">
        <v>50</v>
      </c>
      <c r="D130" s="27"/>
      <c r="F130" s="15">
        <f>1330</f>
        <v>1330</v>
      </c>
      <c r="H130" s="4">
        <f>IF(ISNUMBER(D130),D130,F130)</f>
        <v>1330</v>
      </c>
      <c r="N130" s="17"/>
      <c r="Q130" s="27"/>
      <c r="S130" s="15">
        <f>1330</f>
        <v>1330</v>
      </c>
      <c r="U130" s="4">
        <f>IF(ISNUMBER(Q130),Q130,S130)</f>
        <v>1330</v>
      </c>
      <c r="AA130" s="17"/>
    </row>
    <row r="131" spans="2:28" ht="3.95" customHeight="1" x14ac:dyDescent="0.2">
      <c r="D131" s="11"/>
      <c r="F131" s="11"/>
      <c r="H131" s="11"/>
      <c r="J131" s="11"/>
      <c r="L131" s="11"/>
      <c r="N131" s="11"/>
      <c r="O131" s="11"/>
      <c r="P131" s="66"/>
      <c r="Q131" s="11"/>
      <c r="S131" s="11"/>
      <c r="U131" s="11"/>
      <c r="W131" s="11"/>
      <c r="Y131" s="11"/>
      <c r="AA131" s="11"/>
    </row>
    <row r="132" spans="2:28" ht="15" customHeight="1" x14ac:dyDescent="0.2">
      <c r="B132" s="17" t="s">
        <v>28</v>
      </c>
      <c r="C132" s="17" t="s">
        <v>136</v>
      </c>
      <c r="H132" s="34">
        <f>IF(H128&gt;0,H130*(H128-LISTE!$B$12)+LISTE!$C$12,0)</f>
        <v>0</v>
      </c>
      <c r="J132" s="87"/>
      <c r="K132" s="87"/>
      <c r="L132" s="87"/>
      <c r="M132" s="87"/>
      <c r="N132" s="87"/>
      <c r="O132" s="33"/>
      <c r="P132" s="76"/>
      <c r="U132" s="34">
        <f>IF(U128&gt;0,U130*(U128-LISTE!$B$12)+LISTE!$C$12,0)</f>
        <v>0</v>
      </c>
      <c r="AA132" s="33"/>
      <c r="AB132" s="12"/>
    </row>
    <row r="133" spans="2:28" ht="3.95" customHeight="1" x14ac:dyDescent="0.2">
      <c r="H133" s="12"/>
      <c r="J133" s="87"/>
      <c r="K133" s="87"/>
      <c r="L133" s="87"/>
      <c r="M133" s="87"/>
      <c r="N133" s="87"/>
      <c r="O133" s="12"/>
      <c r="P133" s="72"/>
      <c r="U133" s="12"/>
      <c r="AA133" s="12"/>
      <c r="AB133" s="12"/>
    </row>
    <row r="134" spans="2:28" ht="15" customHeight="1" x14ac:dyDescent="0.2">
      <c r="B134" s="17" t="s">
        <v>138</v>
      </c>
      <c r="C134" s="17" t="s">
        <v>136</v>
      </c>
      <c r="H134" s="34">
        <f>H124+H126+H132</f>
        <v>0</v>
      </c>
      <c r="J134" s="87"/>
      <c r="K134" s="87"/>
      <c r="L134" s="87"/>
      <c r="M134" s="87"/>
      <c r="N134" s="87"/>
      <c r="O134" s="33"/>
      <c r="P134" s="76"/>
      <c r="U134" s="34">
        <f>U124+U126+U132</f>
        <v>0</v>
      </c>
      <c r="AA134" s="33"/>
      <c r="AB134" s="12"/>
    </row>
    <row r="135" spans="2:28" ht="3.95" customHeight="1" thickBot="1" x14ac:dyDescent="0.25">
      <c r="H135" s="12"/>
      <c r="J135" s="87"/>
      <c r="K135" s="87"/>
      <c r="L135" s="87"/>
      <c r="M135" s="87"/>
      <c r="N135" s="87"/>
      <c r="O135" s="12"/>
      <c r="P135" s="72"/>
      <c r="U135" s="12"/>
      <c r="AA135" s="12"/>
      <c r="AB135" s="12"/>
    </row>
    <row r="136" spans="2:28" ht="15" customHeight="1" thickTop="1" x14ac:dyDescent="0.2">
      <c r="B136" s="17" t="s">
        <v>140</v>
      </c>
      <c r="C136" s="17" t="s">
        <v>0</v>
      </c>
      <c r="D136" s="43"/>
      <c r="F136" s="36">
        <v>0.25</v>
      </c>
      <c r="H136" s="38">
        <f>IF(ISNUMBER(D136),D136,F136)</f>
        <v>0.25</v>
      </c>
      <c r="J136" s="87"/>
      <c r="K136" s="87"/>
      <c r="L136" s="87"/>
      <c r="M136" s="87"/>
      <c r="N136" s="87"/>
      <c r="O136" s="11"/>
      <c r="P136" s="66"/>
      <c r="Q136" s="43"/>
      <c r="S136" s="36">
        <v>0.25</v>
      </c>
      <c r="U136" s="38">
        <f>IF(ISNUMBER(Q136),Q136,S136)</f>
        <v>0.25</v>
      </c>
      <c r="AA136" s="11"/>
      <c r="AB136" s="12"/>
    </row>
    <row r="137" spans="2:28" ht="3.95" customHeight="1" x14ac:dyDescent="0.2">
      <c r="H137" s="12"/>
      <c r="J137" s="87"/>
      <c r="K137" s="87"/>
      <c r="L137" s="87"/>
      <c r="M137" s="87"/>
      <c r="N137" s="87"/>
      <c r="O137" s="12"/>
      <c r="P137" s="72"/>
      <c r="U137" s="12"/>
      <c r="AA137" s="12"/>
      <c r="AB137" s="12"/>
    </row>
    <row r="138" spans="2:28" ht="15" customHeight="1" x14ac:dyDescent="0.2">
      <c r="B138" s="17" t="s">
        <v>140</v>
      </c>
      <c r="C138" s="17" t="s">
        <v>47</v>
      </c>
      <c r="H138" s="34">
        <f>H116*H134*H136</f>
        <v>0</v>
      </c>
      <c r="J138" s="87"/>
      <c r="K138" s="87"/>
      <c r="L138" s="87"/>
      <c r="M138" s="87"/>
      <c r="N138" s="87"/>
      <c r="O138" s="33"/>
      <c r="P138" s="76"/>
      <c r="U138" s="34">
        <f>U116*U134*U136</f>
        <v>0</v>
      </c>
      <c r="AA138" s="33"/>
      <c r="AB138" s="12"/>
    </row>
    <row r="139" spans="2:28" ht="3.95" customHeight="1" x14ac:dyDescent="0.2">
      <c r="H139" s="12"/>
      <c r="J139" s="87"/>
      <c r="K139" s="87"/>
      <c r="L139" s="87"/>
      <c r="M139" s="87"/>
      <c r="N139" s="87"/>
      <c r="O139" s="12"/>
      <c r="P139" s="72"/>
      <c r="U139" s="12"/>
      <c r="AA139" s="12"/>
      <c r="AB139" s="12"/>
    </row>
    <row r="140" spans="2:28" ht="15" customHeight="1" x14ac:dyDescent="0.2">
      <c r="B140" s="17" t="s">
        <v>139</v>
      </c>
      <c r="C140" s="17" t="s">
        <v>47</v>
      </c>
      <c r="H140" s="5">
        <f>IFERROR(H116*H134+H138,0)</f>
        <v>0</v>
      </c>
      <c r="J140" s="87"/>
      <c r="K140" s="87"/>
      <c r="L140" s="87"/>
      <c r="M140" s="87"/>
      <c r="N140" s="87"/>
      <c r="O140" s="33"/>
      <c r="P140" s="76"/>
      <c r="U140" s="5">
        <f>IFERROR(U116*U134+U138,0)</f>
        <v>0</v>
      </c>
      <c r="AA140" s="33"/>
      <c r="AB140" s="12"/>
    </row>
    <row r="141" spans="2:28" ht="3.95" customHeight="1" x14ac:dyDescent="0.2">
      <c r="H141" s="12"/>
      <c r="N141" s="12"/>
      <c r="O141" s="12"/>
      <c r="P141" s="72"/>
      <c r="U141" s="12"/>
      <c r="AA141" s="12"/>
      <c r="AB141" s="12"/>
    </row>
    <row r="142" spans="2:28" ht="15" customHeight="1" thickBot="1" x14ac:dyDescent="0.25">
      <c r="B142" s="16" t="s">
        <v>14</v>
      </c>
      <c r="H142" s="17"/>
      <c r="N142" s="17"/>
      <c r="U142" s="17"/>
      <c r="AA142" s="17"/>
    </row>
    <row r="143" spans="2:28" ht="15" customHeight="1" thickTop="1" x14ac:dyDescent="0.2">
      <c r="B143" s="17" t="s">
        <v>68</v>
      </c>
      <c r="C143" s="17" t="s">
        <v>6</v>
      </c>
      <c r="H143" s="17"/>
      <c r="J143" s="51"/>
      <c r="L143" s="41">
        <v>13.5</v>
      </c>
      <c r="N143" s="32">
        <f>IF(ISNUMBER(J143),J143,L143)</f>
        <v>13.5</v>
      </c>
      <c r="O143" s="33"/>
      <c r="P143" s="76"/>
      <c r="Q143" s="51"/>
      <c r="S143" s="41">
        <v>13.5</v>
      </c>
      <c r="U143" s="32">
        <f>IF(ISNUMBER(Q143),Q143,S143)</f>
        <v>13.5</v>
      </c>
      <c r="W143" s="51"/>
      <c r="Y143" s="41">
        <v>13.5</v>
      </c>
      <c r="AA143" s="32">
        <f>IF(ISNUMBER(W143),W143,Y143)</f>
        <v>13.5</v>
      </c>
    </row>
    <row r="144" spans="2:28" ht="3.95" customHeight="1" thickBot="1" x14ac:dyDescent="0.25">
      <c r="H144" s="17"/>
      <c r="N144" s="17"/>
      <c r="U144" s="17"/>
      <c r="AA144" s="17"/>
    </row>
    <row r="145" spans="2:28" ht="15" customHeight="1" thickTop="1" x14ac:dyDescent="0.2">
      <c r="B145" s="17" t="s">
        <v>43</v>
      </c>
      <c r="C145" s="17" t="s">
        <v>6</v>
      </c>
      <c r="H145" s="17"/>
      <c r="J145" s="51"/>
      <c r="L145" s="41">
        <v>1</v>
      </c>
      <c r="N145" s="32">
        <f>IF(ISNUMBER(J145),J145,L145)</f>
        <v>1</v>
      </c>
      <c r="O145" s="33"/>
      <c r="P145" s="76"/>
      <c r="Q145" s="51"/>
      <c r="S145" s="41">
        <v>1</v>
      </c>
      <c r="U145" s="32">
        <f>IF(ISNUMBER(Q145),Q145,S145)</f>
        <v>1</v>
      </c>
      <c r="W145" s="51"/>
      <c r="Y145" s="41">
        <v>1</v>
      </c>
      <c r="AA145" s="32">
        <f>IF(ISNUMBER(W145),W145,Y145)</f>
        <v>1</v>
      </c>
    </row>
    <row r="146" spans="2:28" ht="3.95" customHeight="1" x14ac:dyDescent="0.2">
      <c r="H146" s="17"/>
      <c r="N146" s="17"/>
      <c r="U146" s="17"/>
      <c r="AA146" s="17"/>
    </row>
    <row r="147" spans="2:28" ht="15" customHeight="1" x14ac:dyDescent="0.2">
      <c r="B147" s="17" t="s">
        <v>69</v>
      </c>
      <c r="C147" s="17" t="s">
        <v>158</v>
      </c>
      <c r="H147" s="17"/>
      <c r="N147" s="29">
        <f>N45*(N143-N145)</f>
        <v>82460.732984293194</v>
      </c>
      <c r="O147" s="8"/>
      <c r="P147" s="65"/>
      <c r="Q147" s="93" t="s">
        <v>168</v>
      </c>
      <c r="R147" s="93"/>
      <c r="S147" s="93"/>
      <c r="U147" s="17"/>
      <c r="AA147" s="29">
        <f>AA45*(AA143-AA145)</f>
        <v>157500</v>
      </c>
    </row>
    <row r="148" spans="2:28" ht="3.95" customHeight="1" x14ac:dyDescent="0.2">
      <c r="H148" s="17"/>
      <c r="N148" s="17"/>
      <c r="Q148" s="93"/>
      <c r="R148" s="93"/>
      <c r="S148" s="93"/>
      <c r="U148" s="17"/>
      <c r="AA148" s="17"/>
    </row>
    <row r="149" spans="2:28" ht="15" customHeight="1" x14ac:dyDescent="0.2">
      <c r="B149" s="17" t="s">
        <v>70</v>
      </c>
      <c r="C149" s="17" t="s">
        <v>158</v>
      </c>
      <c r="H149" s="17"/>
      <c r="N149" s="17"/>
      <c r="Q149" s="93"/>
      <c r="R149" s="93"/>
      <c r="S149" s="93"/>
      <c r="U149" s="34">
        <f>U49*(U143-U145)</f>
        <v>2250</v>
      </c>
      <c r="AA149" s="17"/>
    </row>
    <row r="150" spans="2:28" ht="3.95" customHeight="1" x14ac:dyDescent="0.2">
      <c r="H150" s="17"/>
      <c r="N150" s="17"/>
      <c r="Q150" s="93"/>
      <c r="R150" s="93"/>
      <c r="S150" s="93"/>
      <c r="U150" s="17"/>
      <c r="AA150" s="17"/>
    </row>
    <row r="151" spans="2:28" ht="15" customHeight="1" x14ac:dyDescent="0.2">
      <c r="B151" s="17" t="s">
        <v>71</v>
      </c>
      <c r="C151" s="17" t="s">
        <v>1</v>
      </c>
      <c r="H151" s="17"/>
      <c r="N151" s="5">
        <f>H15*(N147+N149)</f>
        <v>0</v>
      </c>
      <c r="O151" s="8"/>
      <c r="P151" s="65"/>
      <c r="Q151" s="93"/>
      <c r="R151" s="93"/>
      <c r="S151" s="93"/>
      <c r="U151" s="5">
        <f>U15*(U147+U149)</f>
        <v>0</v>
      </c>
      <c r="AA151" s="5">
        <f>U15*(AA147+AA149)</f>
        <v>0</v>
      </c>
    </row>
    <row r="152" spans="2:28" ht="3.95" customHeight="1" x14ac:dyDescent="0.2">
      <c r="H152" s="17"/>
      <c r="N152" s="17"/>
      <c r="Q152" s="93"/>
      <c r="R152" s="93"/>
      <c r="S152" s="93"/>
      <c r="U152" s="17"/>
      <c r="AA152" s="17"/>
    </row>
    <row r="153" spans="2:28" ht="15" customHeight="1" thickBot="1" x14ac:dyDescent="0.25">
      <c r="B153" s="16" t="s">
        <v>10</v>
      </c>
      <c r="H153" s="17"/>
      <c r="N153" s="17"/>
      <c r="Q153" s="93"/>
      <c r="R153" s="93"/>
      <c r="S153" s="93"/>
      <c r="U153" s="17"/>
      <c r="AA153" s="17"/>
      <c r="AB153" s="52"/>
    </row>
    <row r="154" spans="2:28" ht="15" customHeight="1" thickTop="1" x14ac:dyDescent="0.2">
      <c r="B154" s="17" t="s">
        <v>8</v>
      </c>
      <c r="C154" s="17" t="s">
        <v>6</v>
      </c>
      <c r="H154" s="17"/>
      <c r="J154" s="51"/>
      <c r="L154" s="41">
        <v>8.6999999999999993</v>
      </c>
      <c r="N154" s="32">
        <f>IF(ISNUMBER(J154),J154,L154)</f>
        <v>8.6999999999999993</v>
      </c>
      <c r="O154" s="33"/>
      <c r="P154" s="76"/>
      <c r="Q154" s="93"/>
      <c r="R154" s="93"/>
      <c r="S154" s="93"/>
      <c r="U154" s="17"/>
      <c r="W154" s="51"/>
      <c r="Y154" s="41">
        <v>8.6999999999999993</v>
      </c>
      <c r="AA154" s="32">
        <f>IF(ISNUMBER(W154),W154,Y154)</f>
        <v>8.6999999999999993</v>
      </c>
    </row>
    <row r="155" spans="2:28" ht="3.95" customHeight="1" thickBot="1" x14ac:dyDescent="0.25">
      <c r="H155" s="17"/>
      <c r="N155" s="17"/>
      <c r="Q155" s="93"/>
      <c r="R155" s="93"/>
      <c r="S155" s="93"/>
      <c r="U155" s="17"/>
      <c r="AA155" s="17"/>
    </row>
    <row r="156" spans="2:28" ht="15" customHeight="1" thickTop="1" x14ac:dyDescent="0.2">
      <c r="B156" s="17" t="s">
        <v>18</v>
      </c>
      <c r="C156" s="17" t="s">
        <v>0</v>
      </c>
      <c r="H156" s="17"/>
      <c r="J156" s="43"/>
      <c r="L156" s="37">
        <v>7.0000000000000007E-2</v>
      </c>
      <c r="N156" s="38">
        <f>IF(ISNUMBER(J156),J156,L156)</f>
        <v>7.0000000000000007E-2</v>
      </c>
      <c r="O156" s="45"/>
      <c r="P156" s="69"/>
      <c r="Q156" s="93"/>
      <c r="R156" s="93"/>
      <c r="S156" s="93"/>
      <c r="U156" s="17"/>
      <c r="W156" s="43"/>
      <c r="Y156" s="37">
        <v>7.0000000000000007E-2</v>
      </c>
      <c r="AA156" s="38">
        <f>IF(ISNUMBER(W156),W156,Y156)</f>
        <v>7.0000000000000007E-2</v>
      </c>
    </row>
    <row r="157" spans="2:28" s="17" customFormat="1" ht="3.95" customHeight="1" x14ac:dyDescent="0.2">
      <c r="J157" s="46"/>
      <c r="L157" s="45"/>
      <c r="N157" s="45"/>
      <c r="O157" s="45"/>
      <c r="P157" s="69"/>
      <c r="Q157" s="93"/>
      <c r="R157" s="93"/>
      <c r="S157" s="93"/>
      <c r="W157" s="46"/>
      <c r="Y157" s="45"/>
      <c r="AA157" s="45"/>
    </row>
    <row r="158" spans="2:28" ht="15" customHeight="1" x14ac:dyDescent="0.2">
      <c r="B158" s="17" t="s">
        <v>8</v>
      </c>
      <c r="C158" s="17" t="s">
        <v>160</v>
      </c>
      <c r="H158" s="24"/>
      <c r="N158" s="29">
        <f>N156*N45</f>
        <v>461.78010471204192</v>
      </c>
      <c r="O158" s="8"/>
      <c r="P158" s="65"/>
      <c r="Q158" s="93"/>
      <c r="R158" s="93"/>
      <c r="S158" s="93"/>
      <c r="U158" s="24"/>
      <c r="AA158" s="29">
        <f>AA156*AA45</f>
        <v>882.00000000000011</v>
      </c>
    </row>
    <row r="159" spans="2:28" ht="3.95" customHeight="1" x14ac:dyDescent="0.2">
      <c r="H159" s="24"/>
      <c r="N159" s="10"/>
      <c r="O159" s="10"/>
      <c r="P159" s="70"/>
      <c r="U159" s="24"/>
      <c r="AA159" s="10"/>
    </row>
    <row r="160" spans="2:28" ht="15" customHeight="1" x14ac:dyDescent="0.2">
      <c r="B160" s="17" t="s">
        <v>72</v>
      </c>
      <c r="C160" s="17" t="s">
        <v>1</v>
      </c>
      <c r="H160" s="24"/>
      <c r="N160" s="5">
        <f>H15*(N158*N154)</f>
        <v>0</v>
      </c>
      <c r="O160" s="8"/>
      <c r="P160" s="65"/>
      <c r="U160" s="24"/>
      <c r="AA160" s="5">
        <f>U15*(AA158*AA154)</f>
        <v>0</v>
      </c>
    </row>
    <row r="161" spans="2:27" ht="3.95" customHeight="1" x14ac:dyDescent="0.2">
      <c r="H161" s="24"/>
      <c r="N161" s="24"/>
      <c r="O161" s="24"/>
      <c r="P161" s="77"/>
      <c r="U161" s="24"/>
      <c r="AA161" s="24"/>
    </row>
    <row r="162" spans="2:27" ht="15" customHeight="1" thickBot="1" x14ac:dyDescent="0.25">
      <c r="B162" s="16" t="s">
        <v>88</v>
      </c>
      <c r="D162" s="24"/>
      <c r="F162" s="24"/>
      <c r="H162" s="24"/>
      <c r="J162" s="24"/>
      <c r="L162" s="24"/>
      <c r="N162" s="24"/>
      <c r="O162" s="24"/>
      <c r="P162" s="77"/>
      <c r="Q162" s="24"/>
      <c r="S162" s="24"/>
      <c r="U162" s="24"/>
      <c r="W162" s="24"/>
      <c r="Y162" s="24"/>
      <c r="AA162" s="24"/>
    </row>
    <row r="163" spans="2:27" ht="15" customHeight="1" thickTop="1" x14ac:dyDescent="0.2">
      <c r="B163" s="17" t="s">
        <v>89</v>
      </c>
      <c r="C163" s="17" t="s">
        <v>47</v>
      </c>
      <c r="D163" s="27"/>
      <c r="F163" s="15">
        <v>0</v>
      </c>
      <c r="H163" s="4">
        <f>IF(ISNUMBER(D163),D163,F163)</f>
        <v>0</v>
      </c>
      <c r="J163" s="24"/>
      <c r="L163" s="24"/>
      <c r="N163" s="24"/>
      <c r="O163" s="24"/>
      <c r="P163" s="77"/>
      <c r="Q163" s="27"/>
      <c r="S163" s="15">
        <v>0</v>
      </c>
      <c r="U163" s="4">
        <f>IF(ISNUMBER(Q163),Q163,S163)</f>
        <v>0</v>
      </c>
      <c r="W163" s="24"/>
      <c r="Y163" s="24"/>
      <c r="AA163" s="24"/>
    </row>
    <row r="164" spans="2:27" ht="3.95" customHeight="1" x14ac:dyDescent="0.2">
      <c r="D164" s="23"/>
      <c r="F164" s="23"/>
      <c r="H164" s="8"/>
      <c r="J164" s="23"/>
      <c r="L164" s="23"/>
      <c r="N164" s="8"/>
      <c r="O164" s="8"/>
      <c r="P164" s="65"/>
      <c r="Q164" s="23"/>
      <c r="S164" s="23"/>
      <c r="U164" s="8"/>
      <c r="W164" s="23"/>
      <c r="Y164" s="23"/>
      <c r="AA164" s="8"/>
    </row>
    <row r="165" spans="2:27" ht="15" customHeight="1" x14ac:dyDescent="0.2">
      <c r="B165" s="17" t="s">
        <v>90</v>
      </c>
      <c r="C165" s="17" t="s">
        <v>158</v>
      </c>
      <c r="H165" s="5">
        <f>H15*H163/H28</f>
        <v>0</v>
      </c>
      <c r="N165" s="8"/>
      <c r="O165" s="8"/>
      <c r="P165" s="65"/>
      <c r="U165" s="5">
        <f>U15*U163/U28</f>
        <v>0</v>
      </c>
      <c r="AA165" s="8"/>
    </row>
    <row r="166" spans="2:27" ht="3.95" customHeight="1" x14ac:dyDescent="0.2">
      <c r="H166" s="8"/>
      <c r="N166" s="8"/>
      <c r="O166" s="8"/>
      <c r="P166" s="65"/>
      <c r="U166" s="8"/>
      <c r="AA166" s="8"/>
    </row>
    <row r="167" spans="2:27" ht="15" customHeight="1" thickBot="1" x14ac:dyDescent="0.25">
      <c r="B167" s="16" t="s">
        <v>4</v>
      </c>
      <c r="H167" s="17"/>
      <c r="N167" s="17"/>
      <c r="U167" s="17"/>
      <c r="AA167" s="17"/>
    </row>
    <row r="168" spans="2:27" ht="15" customHeight="1" thickTop="1" x14ac:dyDescent="0.2">
      <c r="B168" s="17" t="s">
        <v>84</v>
      </c>
      <c r="C168" s="17" t="s">
        <v>2</v>
      </c>
      <c r="D168" s="27"/>
      <c r="F168" s="15">
        <v>50000</v>
      </c>
      <c r="H168" s="4">
        <f>IF(ISNUMBER(D168),D168,F168)</f>
        <v>50000</v>
      </c>
      <c r="J168" s="27"/>
      <c r="L168" s="15">
        <v>60000</v>
      </c>
      <c r="N168" s="4">
        <f>IF(ISNUMBER(J168),J168,L168)</f>
        <v>60000</v>
      </c>
      <c r="O168" s="8"/>
      <c r="P168" s="65"/>
      <c r="Q168" s="27"/>
      <c r="S168" s="15">
        <v>40000</v>
      </c>
      <c r="U168" s="4">
        <f>IF(ISNUMBER(Q168),Q168,S168)</f>
        <v>40000</v>
      </c>
      <c r="W168" s="27"/>
      <c r="Y168" s="15">
        <v>50000</v>
      </c>
      <c r="AA168" s="4">
        <f>IF(ISNUMBER(W168),W168,Y168)</f>
        <v>50000</v>
      </c>
    </row>
    <row r="169" spans="2:27" ht="3.95" customHeight="1" thickBot="1" x14ac:dyDescent="0.25">
      <c r="D169" s="25"/>
      <c r="F169" s="25"/>
      <c r="H169" s="8"/>
      <c r="J169" s="25"/>
      <c r="L169" s="25"/>
      <c r="N169" s="8"/>
      <c r="O169" s="8"/>
      <c r="P169" s="65"/>
      <c r="Q169" s="25"/>
      <c r="S169" s="25"/>
      <c r="U169" s="8"/>
      <c r="W169" s="25"/>
      <c r="Y169" s="25"/>
      <c r="AA169" s="8"/>
    </row>
    <row r="170" spans="2:27" ht="15" customHeight="1" thickTop="1" x14ac:dyDescent="0.2">
      <c r="B170" s="17" t="s">
        <v>83</v>
      </c>
      <c r="C170" s="17" t="s">
        <v>16</v>
      </c>
      <c r="D170" s="27"/>
      <c r="F170" s="15">
        <v>700</v>
      </c>
      <c r="H170" s="4">
        <f>IF(ISNUMBER(D170),D170,F170)</f>
        <v>700</v>
      </c>
      <c r="J170" s="27"/>
      <c r="L170" s="15">
        <v>700</v>
      </c>
      <c r="N170" s="4">
        <f>IF(ISNUMBER(J170),J170,L170)</f>
        <v>700</v>
      </c>
      <c r="O170" s="8"/>
      <c r="P170" s="65"/>
      <c r="Q170" s="27"/>
      <c r="S170" s="15">
        <v>700</v>
      </c>
      <c r="U170" s="4">
        <f>IF(ISNUMBER(Q170),Q170,S170)</f>
        <v>700</v>
      </c>
      <c r="W170" s="27"/>
      <c r="Y170" s="15">
        <v>700</v>
      </c>
      <c r="AA170" s="4">
        <f>IF(ISNUMBER(W170),W170,Y170)</f>
        <v>700</v>
      </c>
    </row>
    <row r="171" spans="2:27" ht="3.95" customHeight="1" thickBot="1" x14ac:dyDescent="0.25">
      <c r="D171" s="25"/>
      <c r="F171" s="25"/>
      <c r="H171" s="8"/>
      <c r="J171" s="25"/>
      <c r="L171" s="25"/>
      <c r="N171" s="8"/>
      <c r="O171" s="8"/>
      <c r="P171" s="65"/>
      <c r="Q171" s="25"/>
      <c r="S171" s="25"/>
      <c r="U171" s="8"/>
      <c r="W171" s="25"/>
      <c r="Y171" s="25"/>
      <c r="AA171" s="8"/>
    </row>
    <row r="172" spans="2:27" ht="15" customHeight="1" thickTop="1" x14ac:dyDescent="0.2">
      <c r="B172" s="17" t="s">
        <v>73</v>
      </c>
      <c r="C172" s="17" t="s">
        <v>3</v>
      </c>
      <c r="D172" s="27"/>
      <c r="F172" s="15">
        <v>4</v>
      </c>
      <c r="H172" s="4">
        <f>IF(ISNUMBER(D172),D172,F172)</f>
        <v>4</v>
      </c>
      <c r="J172" s="27"/>
      <c r="L172" s="15">
        <v>4</v>
      </c>
      <c r="N172" s="4">
        <f>IF(ISNUMBER(J172),J172,L172)</f>
        <v>4</v>
      </c>
      <c r="O172" s="8"/>
      <c r="P172" s="65"/>
      <c r="Q172" s="27"/>
      <c r="S172" s="15">
        <v>4</v>
      </c>
      <c r="U172" s="4">
        <f>IF(ISNUMBER(Q172),Q172,S172)</f>
        <v>4</v>
      </c>
      <c r="W172" s="27"/>
      <c r="Y172" s="15">
        <v>4</v>
      </c>
      <c r="AA172" s="4">
        <f>IF(ISNUMBER(W172),W172,Y172)</f>
        <v>4</v>
      </c>
    </row>
    <row r="173" spans="2:27" ht="3.95" customHeight="1" x14ac:dyDescent="0.2">
      <c r="D173" s="25"/>
      <c r="F173" s="25"/>
      <c r="H173" s="8"/>
      <c r="J173" s="25"/>
      <c r="L173" s="25"/>
      <c r="N173" s="8"/>
      <c r="O173" s="8"/>
      <c r="P173" s="65"/>
      <c r="Q173" s="25"/>
      <c r="S173" s="25"/>
      <c r="U173" s="8"/>
      <c r="W173" s="25"/>
      <c r="Y173" s="25"/>
      <c r="AA173" s="8"/>
    </row>
    <row r="174" spans="2:27" ht="15" customHeight="1" x14ac:dyDescent="0.2">
      <c r="B174" s="17" t="s">
        <v>74</v>
      </c>
      <c r="C174" s="17" t="s">
        <v>161</v>
      </c>
      <c r="H174" s="30">
        <f>$H9/H168*H172</f>
        <v>10.08</v>
      </c>
      <c r="N174" s="30">
        <f>$H9/N168*N172</f>
        <v>8.4</v>
      </c>
      <c r="O174" s="11"/>
      <c r="P174" s="66"/>
      <c r="U174" s="30">
        <f>$U9/U168*U172</f>
        <v>12.6</v>
      </c>
      <c r="AA174" s="30">
        <f>$U9/AA168*AA172</f>
        <v>10.08</v>
      </c>
    </row>
    <row r="175" spans="2:27" ht="3.95" customHeight="1" x14ac:dyDescent="0.2">
      <c r="H175" s="13"/>
      <c r="N175" s="13"/>
      <c r="O175" s="13"/>
      <c r="P175" s="78"/>
      <c r="U175" s="13"/>
      <c r="AA175" s="13"/>
    </row>
    <row r="176" spans="2:27" ht="15" customHeight="1" x14ac:dyDescent="0.2">
      <c r="B176" s="17" t="s">
        <v>75</v>
      </c>
      <c r="C176" s="17" t="s">
        <v>1</v>
      </c>
      <c r="H176" s="5">
        <f>H15*H174*H170</f>
        <v>0</v>
      </c>
      <c r="N176" s="5">
        <f>H15*N174*N170</f>
        <v>0</v>
      </c>
      <c r="O176" s="8"/>
      <c r="P176" s="65"/>
      <c r="U176" s="5">
        <f>U15*U174*U170</f>
        <v>0</v>
      </c>
      <c r="AA176" s="5">
        <f>U15*AA174*AA170</f>
        <v>0</v>
      </c>
    </row>
    <row r="177" spans="2:27" ht="3.95" customHeight="1" x14ac:dyDescent="0.2">
      <c r="H177" s="8"/>
      <c r="N177" s="8"/>
      <c r="O177" s="8"/>
      <c r="P177" s="65"/>
      <c r="U177" s="8"/>
      <c r="AA177" s="8"/>
    </row>
    <row r="178" spans="2:27" ht="15" customHeight="1" thickBot="1" x14ac:dyDescent="0.25">
      <c r="B178" s="16" t="s">
        <v>82</v>
      </c>
      <c r="H178" s="17"/>
      <c r="N178" s="17"/>
      <c r="U178" s="17"/>
      <c r="AA178" s="17"/>
    </row>
    <row r="179" spans="2:27" ht="15" customHeight="1" thickTop="1" x14ac:dyDescent="0.2">
      <c r="B179" s="17" t="s">
        <v>44</v>
      </c>
      <c r="C179" s="17" t="s">
        <v>2</v>
      </c>
      <c r="D179" s="27"/>
      <c r="F179" s="15">
        <v>150000</v>
      </c>
      <c r="H179" s="4">
        <f>IF(ISNUMBER(D179),D179,F179)</f>
        <v>150000</v>
      </c>
      <c r="J179" s="27"/>
      <c r="L179" s="15">
        <v>60000</v>
      </c>
      <c r="N179" s="4">
        <f>IF(ISNUMBER(J179),J179,L179)</f>
        <v>60000</v>
      </c>
      <c r="O179" s="8"/>
      <c r="P179" s="65"/>
      <c r="Q179" s="27"/>
      <c r="S179" s="15">
        <v>150000</v>
      </c>
      <c r="U179" s="4">
        <f>IF(ISNUMBER(Q179),Q179,S179)</f>
        <v>150000</v>
      </c>
      <c r="W179" s="27"/>
      <c r="Y179" s="15">
        <v>50000</v>
      </c>
      <c r="AA179" s="4">
        <f>IF(ISNUMBER(W179),W179,Y179)</f>
        <v>50000</v>
      </c>
    </row>
    <row r="180" spans="2:27" ht="3.95" customHeight="1" thickBot="1" x14ac:dyDescent="0.25">
      <c r="D180" s="25"/>
      <c r="F180" s="25"/>
      <c r="H180" s="8"/>
      <c r="J180" s="25"/>
      <c r="L180" s="25"/>
      <c r="N180" s="8"/>
      <c r="O180" s="8"/>
      <c r="P180" s="65"/>
      <c r="Q180" s="25"/>
      <c r="S180" s="25"/>
      <c r="U180" s="8"/>
      <c r="W180" s="25"/>
      <c r="Y180" s="25"/>
      <c r="AA180" s="8"/>
    </row>
    <row r="181" spans="2:27" ht="15" customHeight="1" thickTop="1" x14ac:dyDescent="0.2">
      <c r="B181" s="17" t="s">
        <v>87</v>
      </c>
      <c r="C181" s="17" t="s">
        <v>16</v>
      </c>
      <c r="D181" s="27"/>
      <c r="F181" s="15">
        <v>5000</v>
      </c>
      <c r="H181" s="4">
        <f>IF(ISNUMBER(D181),D181,F181)</f>
        <v>5000</v>
      </c>
      <c r="J181" s="27"/>
      <c r="L181" s="15">
        <v>5000</v>
      </c>
      <c r="N181" s="4">
        <f>IF(ISNUMBER(J181),J181,L181)</f>
        <v>5000</v>
      </c>
      <c r="O181" s="8"/>
      <c r="P181" s="65"/>
      <c r="Q181" s="27"/>
      <c r="S181" s="15">
        <v>5000</v>
      </c>
      <c r="U181" s="4">
        <f>IF(ISNUMBER(Q181),Q181,S181)</f>
        <v>5000</v>
      </c>
      <c r="W181" s="27"/>
      <c r="Y181" s="15">
        <v>5000</v>
      </c>
      <c r="AA181" s="4">
        <f>IF(ISNUMBER(W181),W181,Y181)</f>
        <v>5000</v>
      </c>
    </row>
    <row r="182" spans="2:27" ht="3.95" customHeight="1" x14ac:dyDescent="0.2">
      <c r="D182" s="25"/>
      <c r="F182" s="25"/>
      <c r="H182" s="8"/>
      <c r="J182" s="25"/>
      <c r="L182" s="25"/>
      <c r="N182" s="8"/>
      <c r="O182" s="8"/>
      <c r="P182" s="65"/>
      <c r="Q182" s="25"/>
      <c r="S182" s="25"/>
      <c r="U182" s="8"/>
      <c r="W182" s="25"/>
      <c r="Y182" s="25"/>
      <c r="AA182" s="8"/>
    </row>
    <row r="183" spans="2:27" ht="15" customHeight="1" x14ac:dyDescent="0.2">
      <c r="B183" s="17" t="s">
        <v>87</v>
      </c>
      <c r="C183" s="17" t="s">
        <v>161</v>
      </c>
      <c r="H183" s="30">
        <f>$H9/H179</f>
        <v>0.84</v>
      </c>
      <c r="N183" s="30">
        <f>$H9/N179</f>
        <v>2.1</v>
      </c>
      <c r="O183" s="11"/>
      <c r="P183" s="66"/>
      <c r="U183" s="30">
        <f>$U9/U179</f>
        <v>0.84</v>
      </c>
      <c r="AA183" s="30">
        <f>$U9/AA179</f>
        <v>2.52</v>
      </c>
    </row>
    <row r="184" spans="2:27" ht="3.95" customHeight="1" x14ac:dyDescent="0.2">
      <c r="H184" s="13"/>
      <c r="N184" s="13"/>
      <c r="O184" s="13"/>
      <c r="P184" s="78"/>
      <c r="U184" s="13"/>
      <c r="AA184" s="13"/>
    </row>
    <row r="185" spans="2:27" ht="15" customHeight="1" x14ac:dyDescent="0.2">
      <c r="B185" s="17" t="s">
        <v>75</v>
      </c>
      <c r="C185" s="17" t="s">
        <v>1</v>
      </c>
      <c r="H185" s="5">
        <f>H15*H183*H181</f>
        <v>0</v>
      </c>
      <c r="N185" s="5">
        <f>H15*N183*N181</f>
        <v>0</v>
      </c>
      <c r="O185" s="8"/>
      <c r="P185" s="65"/>
      <c r="U185" s="5">
        <f>U15*U183*U181</f>
        <v>0</v>
      </c>
      <c r="AA185" s="5">
        <f>U15*AA183*AA181</f>
        <v>0</v>
      </c>
    </row>
    <row r="186" spans="2:27" ht="3.95" customHeight="1" x14ac:dyDescent="0.2">
      <c r="H186" s="8"/>
      <c r="N186" s="8"/>
      <c r="O186" s="8"/>
      <c r="P186" s="65"/>
      <c r="U186" s="8"/>
      <c r="AA186" s="8"/>
    </row>
    <row r="187" spans="2:27" ht="15" customHeight="1" thickBot="1" x14ac:dyDescent="0.25">
      <c r="B187" s="16" t="s">
        <v>15</v>
      </c>
      <c r="H187" s="17"/>
      <c r="N187" s="17"/>
      <c r="U187" s="17"/>
      <c r="AA187" s="17"/>
    </row>
    <row r="188" spans="2:27" ht="15" customHeight="1" thickTop="1" x14ac:dyDescent="0.2">
      <c r="B188" s="17" t="s">
        <v>17</v>
      </c>
      <c r="C188" s="17" t="s">
        <v>77</v>
      </c>
      <c r="D188" s="27"/>
      <c r="F188" s="15">
        <v>150000</v>
      </c>
      <c r="H188" s="4">
        <f>IF(ISNUMBER(D188),D188,F188)</f>
        <v>150000</v>
      </c>
      <c r="J188" s="27"/>
      <c r="L188" s="15">
        <v>30000</v>
      </c>
      <c r="N188" s="4">
        <f>IF(ISNUMBER(J188),J188,L188)</f>
        <v>30000</v>
      </c>
      <c r="O188" s="8"/>
      <c r="P188" s="65"/>
      <c r="Q188" s="27"/>
      <c r="S188" s="15">
        <v>135000</v>
      </c>
      <c r="U188" s="4">
        <f>IF(ISNUMBER(Q188),Q188,S188)</f>
        <v>135000</v>
      </c>
      <c r="W188" s="27"/>
      <c r="Y188" s="15">
        <v>35000</v>
      </c>
      <c r="AA188" s="4">
        <f>IF(ISNUMBER(W188),W188,Y188)</f>
        <v>35000</v>
      </c>
    </row>
    <row r="189" spans="2:27" ht="3.95" customHeight="1" x14ac:dyDescent="0.2">
      <c r="D189" s="10"/>
      <c r="F189" s="10"/>
      <c r="H189" s="8"/>
      <c r="J189" s="10"/>
      <c r="L189" s="10"/>
      <c r="N189" s="8"/>
      <c r="O189" s="8"/>
      <c r="P189" s="65"/>
      <c r="Q189" s="10"/>
      <c r="S189" s="10"/>
      <c r="U189" s="8"/>
      <c r="W189" s="10"/>
      <c r="Y189" s="10"/>
      <c r="AA189" s="8"/>
    </row>
    <row r="190" spans="2:27" ht="15" customHeight="1" x14ac:dyDescent="0.2">
      <c r="B190" s="17" t="s">
        <v>17</v>
      </c>
      <c r="C190" s="17" t="s">
        <v>162</v>
      </c>
      <c r="H190" s="30">
        <f>$H9/H188</f>
        <v>0.84</v>
      </c>
      <c r="N190" s="30">
        <f>$H9/N188</f>
        <v>4.2</v>
      </c>
      <c r="O190" s="11"/>
      <c r="P190" s="66"/>
      <c r="U190" s="30">
        <f>$U9/U188</f>
        <v>0.93333333333333335</v>
      </c>
      <c r="AA190" s="30">
        <f>$U9/AA188</f>
        <v>3.6</v>
      </c>
    </row>
    <row r="191" spans="2:27" ht="3.95" customHeight="1" thickBot="1" x14ac:dyDescent="0.25">
      <c r="H191" s="10"/>
      <c r="N191" s="10"/>
      <c r="O191" s="10"/>
      <c r="P191" s="70"/>
      <c r="U191" s="10"/>
      <c r="AA191" s="10"/>
    </row>
    <row r="192" spans="2:27" ht="15" customHeight="1" thickTop="1" x14ac:dyDescent="0.2">
      <c r="B192" s="17" t="s">
        <v>17</v>
      </c>
      <c r="C192" s="17" t="s">
        <v>78</v>
      </c>
      <c r="D192" s="27"/>
      <c r="F192" s="15">
        <v>3000</v>
      </c>
      <c r="H192" s="4">
        <f>IF(ISNUMBER(D192),D192,F192)</f>
        <v>3000</v>
      </c>
      <c r="J192" s="27"/>
      <c r="L192" s="15">
        <v>6000</v>
      </c>
      <c r="N192" s="4">
        <f>IF(ISNUMBER(J192),J192,L192)</f>
        <v>6000</v>
      </c>
      <c r="O192" s="8"/>
      <c r="P192" s="65"/>
      <c r="Q192" s="27"/>
      <c r="S192" s="15">
        <v>3000</v>
      </c>
      <c r="U192" s="4">
        <f>IF(ISNUMBER(Q192),Q192,S192)</f>
        <v>3000</v>
      </c>
      <c r="W192" s="27"/>
      <c r="Y192" s="15">
        <v>8000</v>
      </c>
      <c r="AA192" s="4">
        <f>IF(ISNUMBER(W192),W192,Y192)</f>
        <v>8000</v>
      </c>
    </row>
    <row r="193" spans="1:65" ht="3.95" customHeight="1" x14ac:dyDescent="0.2">
      <c r="D193" s="10"/>
      <c r="F193" s="10"/>
      <c r="H193" s="8"/>
      <c r="J193" s="10"/>
      <c r="L193" s="10"/>
      <c r="N193" s="8"/>
      <c r="O193" s="8"/>
      <c r="P193" s="65"/>
      <c r="Q193" s="10"/>
      <c r="S193" s="10"/>
      <c r="U193" s="8"/>
      <c r="W193" s="10"/>
      <c r="Y193" s="10"/>
      <c r="AA193" s="8"/>
    </row>
    <row r="194" spans="1:65" ht="15" customHeight="1" x14ac:dyDescent="0.2">
      <c r="B194" s="17" t="s">
        <v>76</v>
      </c>
      <c r="C194" s="17" t="s">
        <v>1</v>
      </c>
      <c r="H194" s="5">
        <f>H15*H190*H192</f>
        <v>0</v>
      </c>
      <c r="N194" s="5">
        <f>H15*N190*N192</f>
        <v>0</v>
      </c>
      <c r="O194" s="8"/>
      <c r="P194" s="65"/>
      <c r="U194" s="5">
        <f>U15*U190*U192</f>
        <v>0</v>
      </c>
      <c r="AA194" s="5">
        <f>U15*AA190*AA192</f>
        <v>0</v>
      </c>
    </row>
    <row r="195" spans="1:65" ht="3.95" customHeight="1" x14ac:dyDescent="0.2">
      <c r="H195" s="8"/>
      <c r="N195" s="8"/>
      <c r="O195" s="8"/>
      <c r="P195" s="65"/>
      <c r="U195" s="8"/>
      <c r="AA195" s="8"/>
    </row>
    <row r="196" spans="1:65" s="2" customFormat="1" ht="15" customHeight="1" thickBot="1" x14ac:dyDescent="0.25">
      <c r="A196" s="16"/>
      <c r="B196" s="16" t="s">
        <v>85</v>
      </c>
      <c r="C196" s="16"/>
      <c r="D196" s="26"/>
      <c r="E196" s="16"/>
      <c r="F196" s="26"/>
      <c r="G196" s="16"/>
      <c r="H196" s="8"/>
      <c r="I196" s="16"/>
      <c r="J196" s="26"/>
      <c r="K196" s="16"/>
      <c r="L196" s="26"/>
      <c r="M196" s="16"/>
      <c r="N196" s="8"/>
      <c r="O196" s="8"/>
      <c r="P196" s="65"/>
      <c r="Q196" s="26"/>
      <c r="R196" s="16"/>
      <c r="S196" s="26"/>
      <c r="T196" s="16"/>
      <c r="U196" s="8"/>
      <c r="V196" s="16"/>
      <c r="W196" s="26"/>
      <c r="X196" s="16"/>
      <c r="Y196" s="26"/>
      <c r="Z196" s="16"/>
      <c r="AA196" s="8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</row>
    <row r="197" spans="1:65" ht="15" customHeight="1" thickTop="1" x14ac:dyDescent="0.2">
      <c r="B197" s="17" t="s">
        <v>86</v>
      </c>
      <c r="C197" s="17" t="s">
        <v>161</v>
      </c>
      <c r="H197" s="35"/>
      <c r="J197" s="51"/>
      <c r="L197" s="41">
        <v>0.25</v>
      </c>
      <c r="N197" s="32">
        <f>IF(ISNUMBER(J197),J197,L197)</f>
        <v>0.25</v>
      </c>
      <c r="O197" s="33"/>
      <c r="P197" s="76"/>
      <c r="U197" s="35"/>
      <c r="W197" s="51"/>
      <c r="Y197" s="41">
        <v>0.25</v>
      </c>
      <c r="AA197" s="32">
        <f>IF(ISNUMBER(W197),W197,Y197)</f>
        <v>0.25</v>
      </c>
    </row>
    <row r="198" spans="1:65" ht="3.95" customHeight="1" thickBot="1" x14ac:dyDescent="0.25">
      <c r="H198" s="35"/>
      <c r="N198" s="35"/>
      <c r="O198" s="35"/>
      <c r="P198" s="79"/>
      <c r="U198" s="35"/>
      <c r="AA198" s="35"/>
    </row>
    <row r="199" spans="1:65" ht="15" customHeight="1" thickTop="1" x14ac:dyDescent="0.2">
      <c r="B199" s="17" t="s">
        <v>86</v>
      </c>
      <c r="C199" s="17" t="s">
        <v>16</v>
      </c>
      <c r="H199" s="35"/>
      <c r="J199" s="27"/>
      <c r="L199" s="15">
        <v>40000</v>
      </c>
      <c r="N199" s="4">
        <f>IF(ISNUMBER(J199),J199,L199)</f>
        <v>40000</v>
      </c>
      <c r="O199" s="8"/>
      <c r="P199" s="65"/>
      <c r="U199" s="35"/>
      <c r="W199" s="27"/>
      <c r="Y199" s="15">
        <v>25000</v>
      </c>
      <c r="AA199" s="4">
        <f>IF(ISNUMBER(W199),W199,Y199)</f>
        <v>25000</v>
      </c>
    </row>
    <row r="200" spans="1:65" ht="3.95" customHeight="1" x14ac:dyDescent="0.2">
      <c r="H200" s="35"/>
      <c r="N200" s="35"/>
      <c r="O200" s="35"/>
      <c r="P200" s="79"/>
      <c r="U200" s="35"/>
      <c r="AA200" s="35"/>
    </row>
    <row r="201" spans="1:65" ht="15" customHeight="1" x14ac:dyDescent="0.2">
      <c r="B201" s="17" t="s">
        <v>163</v>
      </c>
      <c r="C201" s="17" t="s">
        <v>1</v>
      </c>
      <c r="H201" s="35"/>
      <c r="N201" s="5">
        <f>H15*N197*N199</f>
        <v>0</v>
      </c>
      <c r="O201" s="8"/>
      <c r="P201" s="65"/>
      <c r="U201" s="35"/>
      <c r="AA201" s="5">
        <f>U15*AA197*AA199</f>
        <v>0</v>
      </c>
    </row>
    <row r="202" spans="1:65" ht="3.95" customHeight="1" x14ac:dyDescent="0.2">
      <c r="H202" s="35"/>
      <c r="N202" s="35"/>
      <c r="O202" s="35"/>
      <c r="P202" s="79"/>
      <c r="U202" s="35"/>
      <c r="AA202" s="35"/>
    </row>
    <row r="203" spans="1:65" s="2" customFormat="1" ht="15" customHeight="1" thickBot="1" x14ac:dyDescent="0.25">
      <c r="A203" s="16"/>
      <c r="B203" s="16" t="s">
        <v>79</v>
      </c>
      <c r="C203" s="16"/>
      <c r="D203" s="26"/>
      <c r="E203" s="16"/>
      <c r="F203" s="26"/>
      <c r="G203" s="16"/>
      <c r="H203" s="8"/>
      <c r="I203" s="16"/>
      <c r="J203" s="26"/>
      <c r="K203" s="16"/>
      <c r="L203" s="26"/>
      <c r="M203" s="16"/>
      <c r="N203" s="8"/>
      <c r="O203" s="8"/>
      <c r="P203" s="65"/>
      <c r="Q203" s="26"/>
      <c r="R203" s="16"/>
      <c r="S203" s="26"/>
      <c r="T203" s="16"/>
      <c r="U203" s="8"/>
      <c r="V203" s="16"/>
      <c r="W203" s="26"/>
      <c r="X203" s="16"/>
      <c r="Y203" s="26"/>
      <c r="Z203" s="16"/>
      <c r="AA203" s="8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</row>
    <row r="204" spans="1:65" ht="15" customHeight="1" thickTop="1" x14ac:dyDescent="0.2">
      <c r="B204" s="17" t="s">
        <v>80</v>
      </c>
      <c r="C204" s="17" t="s">
        <v>161</v>
      </c>
      <c r="D204" s="27"/>
      <c r="F204" s="15">
        <v>2</v>
      </c>
      <c r="H204" s="4">
        <f>IF(ISNUMBER(D204),D204,F204)</f>
        <v>2</v>
      </c>
      <c r="J204" s="27"/>
      <c r="L204" s="15">
        <v>2</v>
      </c>
      <c r="N204" s="4">
        <f>IF(ISNUMBER(J204),J204,L204)</f>
        <v>2</v>
      </c>
      <c r="O204" s="8"/>
      <c r="P204" s="65"/>
      <c r="Q204" s="27"/>
      <c r="S204" s="15">
        <v>4</v>
      </c>
      <c r="U204" s="4">
        <f>IF(ISNUMBER(Q204),Q204,S204)</f>
        <v>4</v>
      </c>
      <c r="W204" s="27"/>
      <c r="Y204" s="15">
        <v>4</v>
      </c>
      <c r="AA204" s="4">
        <f>IF(ISNUMBER(W204),W204,Y204)</f>
        <v>4</v>
      </c>
    </row>
    <row r="205" spans="1:65" ht="3.95" customHeight="1" thickBot="1" x14ac:dyDescent="0.25">
      <c r="D205" s="10"/>
      <c r="F205" s="10"/>
      <c r="H205" s="8"/>
      <c r="J205" s="10"/>
      <c r="L205" s="10"/>
      <c r="N205" s="8"/>
      <c r="O205" s="8"/>
      <c r="P205" s="65"/>
      <c r="Q205" s="10"/>
      <c r="S205" s="10"/>
      <c r="U205" s="8"/>
      <c r="W205" s="10"/>
      <c r="Y205" s="10"/>
      <c r="AA205" s="8"/>
    </row>
    <row r="206" spans="1:65" ht="15" customHeight="1" thickTop="1" x14ac:dyDescent="0.2">
      <c r="B206" s="17" t="s">
        <v>80</v>
      </c>
      <c r="C206" s="17" t="s">
        <v>16</v>
      </c>
      <c r="D206" s="27"/>
      <c r="F206" s="15">
        <v>5000</v>
      </c>
      <c r="H206" s="4">
        <f>IF(ISNUMBER(D206),D206,F206)</f>
        <v>5000</v>
      </c>
      <c r="J206" s="27"/>
      <c r="L206" s="15">
        <v>5000</v>
      </c>
      <c r="N206" s="4">
        <f>IF(ISNUMBER(J206),J206,L206)</f>
        <v>5000</v>
      </c>
      <c r="O206" s="8"/>
      <c r="P206" s="65"/>
      <c r="Q206" s="27"/>
      <c r="S206" s="15">
        <v>5000</v>
      </c>
      <c r="U206" s="4">
        <f>IF(ISNUMBER(Q206),Q206,S206)</f>
        <v>5000</v>
      </c>
      <c r="W206" s="27"/>
      <c r="Y206" s="15">
        <v>5000</v>
      </c>
      <c r="AA206" s="4">
        <f>IF(ISNUMBER(W206),W206,Y206)</f>
        <v>5000</v>
      </c>
    </row>
    <row r="207" spans="1:65" ht="3.95" customHeight="1" x14ac:dyDescent="0.2">
      <c r="D207" s="10"/>
      <c r="F207" s="10"/>
      <c r="H207" s="8"/>
      <c r="J207" s="10"/>
      <c r="L207" s="10"/>
      <c r="N207" s="8"/>
      <c r="O207" s="8"/>
      <c r="P207" s="65"/>
      <c r="Q207" s="10"/>
      <c r="S207" s="10"/>
      <c r="U207" s="8"/>
      <c r="W207" s="10"/>
      <c r="Y207" s="10"/>
      <c r="AA207" s="8"/>
    </row>
    <row r="208" spans="1:65" ht="15" customHeight="1" x14ac:dyDescent="0.2">
      <c r="B208" s="17" t="s">
        <v>81</v>
      </c>
      <c r="C208" s="17" t="s">
        <v>1</v>
      </c>
      <c r="H208" s="5">
        <f>H15*H204*H206</f>
        <v>0</v>
      </c>
      <c r="N208" s="5">
        <f>H15*N204*N206</f>
        <v>0</v>
      </c>
      <c r="O208" s="8"/>
      <c r="P208" s="65"/>
      <c r="U208" s="5">
        <f>U15*U204*U206</f>
        <v>0</v>
      </c>
      <c r="AA208" s="5">
        <f>U15*AA204*AA206</f>
        <v>0</v>
      </c>
    </row>
    <row r="209" spans="2:67" ht="3.95" customHeight="1" x14ac:dyDescent="0.2">
      <c r="H209" s="8"/>
      <c r="N209" s="8"/>
      <c r="O209" s="8"/>
      <c r="P209" s="65"/>
      <c r="U209" s="8"/>
      <c r="AA209" s="8"/>
    </row>
    <row r="210" spans="2:67" ht="15" customHeight="1" thickBot="1" x14ac:dyDescent="0.25">
      <c r="B210" s="16" t="s">
        <v>172</v>
      </c>
      <c r="D210" s="16"/>
      <c r="F210" s="8"/>
      <c r="H210" s="8"/>
      <c r="J210" s="8"/>
      <c r="L210" s="8"/>
      <c r="N210" s="8"/>
      <c r="O210" s="89"/>
      <c r="P210" s="8"/>
      <c r="Q210" s="8"/>
      <c r="R210" s="8"/>
      <c r="S210" s="8"/>
      <c r="U210" s="8"/>
      <c r="W210" s="8"/>
      <c r="Y210" s="8"/>
      <c r="AA210" s="8"/>
      <c r="AC210" s="8"/>
      <c r="BN210" s="17"/>
      <c r="BO210" s="17"/>
    </row>
    <row r="211" spans="2:67" ht="15" customHeight="1" thickTop="1" x14ac:dyDescent="0.2">
      <c r="B211" s="17" t="s">
        <v>173</v>
      </c>
      <c r="C211" s="17" t="s">
        <v>174</v>
      </c>
      <c r="D211" s="27"/>
      <c r="F211" s="39">
        <v>1000</v>
      </c>
      <c r="H211" s="40">
        <f>IF(ISNUMBER(D211),D211,F211)</f>
        <v>1000</v>
      </c>
      <c r="J211" s="88"/>
      <c r="L211" s="39">
        <v>1000</v>
      </c>
      <c r="N211" s="40">
        <f>IF(ISNUMBER(J211),J211,L211)</f>
        <v>1000</v>
      </c>
      <c r="O211" s="89"/>
      <c r="P211" s="8"/>
      <c r="Q211" s="88"/>
      <c r="S211" s="39">
        <v>1000</v>
      </c>
      <c r="U211" s="40">
        <f>IF(ISNUMBER(Q211),Q211,S211)</f>
        <v>1000</v>
      </c>
      <c r="W211" s="88"/>
      <c r="Y211" s="39">
        <v>1000</v>
      </c>
      <c r="AA211" s="40">
        <f>IF(ISNUMBER(W211),W211,Y211)</f>
        <v>1000</v>
      </c>
    </row>
    <row r="212" spans="2:67" ht="3.95" customHeight="1" x14ac:dyDescent="0.2">
      <c r="D212" s="16"/>
      <c r="H212" s="17"/>
      <c r="J212" s="28"/>
      <c r="N212" s="17"/>
      <c r="O212" s="90"/>
      <c r="P212" s="28"/>
      <c r="Q212" s="28"/>
      <c r="R212" s="28"/>
      <c r="U212" s="17"/>
      <c r="W212" s="28"/>
      <c r="AA212" s="17"/>
      <c r="AC212" s="28"/>
      <c r="BN212" s="17"/>
      <c r="BO212" s="17"/>
    </row>
    <row r="213" spans="2:67" ht="15" customHeight="1" x14ac:dyDescent="0.2">
      <c r="B213" s="17" t="s">
        <v>173</v>
      </c>
      <c r="C213" s="17" t="s">
        <v>175</v>
      </c>
      <c r="D213" s="8"/>
      <c r="H213" s="5">
        <f>J15*12*H211</f>
        <v>0</v>
      </c>
      <c r="J213" s="1"/>
      <c r="N213" s="5">
        <f>J15*12*N211</f>
        <v>0</v>
      </c>
      <c r="O213" s="90"/>
      <c r="P213" s="28"/>
      <c r="Q213" s="8"/>
      <c r="R213" s="8"/>
      <c r="U213" s="5">
        <f>W15*12*U211</f>
        <v>0</v>
      </c>
      <c r="W213" s="28"/>
      <c r="AA213" s="5">
        <f>W15*12*AA211</f>
        <v>0</v>
      </c>
      <c r="AC213" s="28"/>
      <c r="BN213" s="17"/>
      <c r="BO213" s="17"/>
    </row>
    <row r="214" spans="2:67" ht="3.95" customHeight="1" x14ac:dyDescent="0.2">
      <c r="D214" s="16"/>
      <c r="H214" s="17"/>
      <c r="J214" s="28"/>
      <c r="N214" s="17"/>
      <c r="P214" s="28"/>
      <c r="Q214" s="28"/>
      <c r="R214" s="28"/>
      <c r="U214" s="17"/>
      <c r="W214" s="28"/>
      <c r="AA214" s="17"/>
      <c r="AC214" s="28"/>
      <c r="BN214" s="17"/>
      <c r="BO214" s="17"/>
    </row>
    <row r="215" spans="2:67" ht="15" customHeight="1" thickBot="1" x14ac:dyDescent="0.25">
      <c r="B215" s="16" t="s">
        <v>105</v>
      </c>
      <c r="D215" s="8"/>
      <c r="F215" s="8"/>
      <c r="H215" s="8"/>
      <c r="J215" s="8"/>
      <c r="L215" s="8"/>
      <c r="N215" s="8"/>
      <c r="O215" s="8"/>
      <c r="P215" s="65"/>
      <c r="Q215" s="8"/>
      <c r="S215" s="8"/>
      <c r="U215" s="8"/>
      <c r="W215" s="8"/>
      <c r="Y215" s="8"/>
      <c r="AA215" s="8"/>
    </row>
    <row r="216" spans="2:67" ht="15" customHeight="1" thickTop="1" x14ac:dyDescent="0.2">
      <c r="B216" s="17" t="s">
        <v>106</v>
      </c>
      <c r="C216" s="17" t="s">
        <v>101</v>
      </c>
      <c r="D216" s="62"/>
      <c r="F216" s="39">
        <v>0</v>
      </c>
      <c r="H216" s="40">
        <f>IF(ISNUMBER(D216),D216,F216)</f>
        <v>0</v>
      </c>
      <c r="J216" s="8"/>
      <c r="L216" s="8"/>
      <c r="N216" s="8"/>
      <c r="O216" s="8"/>
      <c r="P216" s="65"/>
      <c r="Q216" s="62"/>
      <c r="S216" s="39">
        <v>0</v>
      </c>
      <c r="U216" s="40">
        <f>IF(ISNUMBER(Q216),Q216,S216)</f>
        <v>0</v>
      </c>
      <c r="W216" s="8"/>
      <c r="Y216" s="8"/>
      <c r="AA216" s="8"/>
      <c r="AC216" s="53"/>
    </row>
    <row r="217" spans="2:67" ht="3.95" customHeight="1" thickBot="1" x14ac:dyDescent="0.25">
      <c r="D217" s="10"/>
      <c r="F217" s="10"/>
      <c r="H217" s="8"/>
      <c r="J217" s="10"/>
      <c r="L217" s="10"/>
      <c r="N217" s="8"/>
      <c r="O217" s="8"/>
      <c r="P217" s="65"/>
      <c r="Q217" s="10"/>
      <c r="S217" s="10"/>
      <c r="U217" s="8"/>
      <c r="W217" s="10"/>
      <c r="Y217" s="10"/>
      <c r="AA217" s="8"/>
    </row>
    <row r="218" spans="2:67" ht="15" customHeight="1" thickTop="1" x14ac:dyDescent="0.2">
      <c r="B218" s="17" t="s">
        <v>107</v>
      </c>
      <c r="C218" s="17" t="s">
        <v>101</v>
      </c>
      <c r="D218" s="50"/>
      <c r="F218" s="39">
        <f>IF(H106&lt;=H216,0,H106-H216)</f>
        <v>3.4615384615384617</v>
      </c>
      <c r="H218" s="40">
        <f>IF(ISNUMBER(D218),D218,F218)</f>
        <v>3.4615384615384617</v>
      </c>
      <c r="J218" s="10"/>
      <c r="L218" s="10"/>
      <c r="N218" s="8"/>
      <c r="O218" s="8"/>
      <c r="P218" s="65"/>
      <c r="Q218" s="50"/>
      <c r="S218" s="39">
        <f>IF(U106&lt;=U216,0,U106-U216)</f>
        <v>38</v>
      </c>
      <c r="U218" s="40">
        <f>IF(ISNUMBER(Q218),Q218,S218)</f>
        <v>38</v>
      </c>
      <c r="W218" s="10"/>
      <c r="Y218" s="10"/>
      <c r="AA218" s="8"/>
      <c r="AC218" s="53"/>
    </row>
    <row r="219" spans="2:67" ht="3.95" customHeight="1" x14ac:dyDescent="0.2">
      <c r="D219" s="10"/>
      <c r="F219" s="10"/>
      <c r="H219" s="8"/>
      <c r="J219" s="10"/>
      <c r="L219" s="10"/>
      <c r="N219" s="8"/>
      <c r="O219" s="8"/>
      <c r="P219" s="65"/>
      <c r="Q219" s="10"/>
      <c r="S219" s="10"/>
      <c r="U219" s="8"/>
      <c r="W219" s="10"/>
      <c r="Y219" s="10"/>
      <c r="AA219" s="8"/>
    </row>
    <row r="220" spans="2:67" ht="15" customHeight="1" x14ac:dyDescent="0.2">
      <c r="B220" s="17" t="s">
        <v>109</v>
      </c>
      <c r="C220" s="17" t="s">
        <v>61</v>
      </c>
      <c r="H220" s="30">
        <f>IF(H216-(H106+H218)&lt;=0,(H106+H218)-H216,0)/60*$H7</f>
        <v>34.61538461538462</v>
      </c>
      <c r="N220" s="8"/>
      <c r="O220" s="8"/>
      <c r="P220" s="65"/>
      <c r="U220" s="30">
        <f>IF(U216-(U106+U218)&lt;=0,(U106+U218)-U216,0)/60*U7</f>
        <v>380</v>
      </c>
      <c r="AA220" s="8"/>
    </row>
    <row r="221" spans="2:67" ht="3.95" customHeight="1" thickBot="1" x14ac:dyDescent="0.25">
      <c r="D221" s="10"/>
      <c r="F221" s="10"/>
      <c r="H221" s="8"/>
      <c r="J221" s="10"/>
      <c r="L221" s="10"/>
      <c r="N221" s="8"/>
      <c r="O221" s="8"/>
      <c r="P221" s="65"/>
      <c r="Q221" s="10"/>
      <c r="S221" s="10"/>
      <c r="U221" s="8"/>
      <c r="W221" s="10"/>
      <c r="Y221" s="10"/>
      <c r="AA221" s="8"/>
    </row>
    <row r="222" spans="2:67" ht="15" customHeight="1" thickTop="1" x14ac:dyDescent="0.2">
      <c r="B222" s="17" t="s">
        <v>109</v>
      </c>
      <c r="C222" s="17" t="s">
        <v>108</v>
      </c>
      <c r="D222" s="50"/>
      <c r="F222" s="39">
        <v>240</v>
      </c>
      <c r="H222" s="40">
        <f>IF(ISNUMBER(D222),D222,F222)</f>
        <v>240</v>
      </c>
      <c r="J222" s="10"/>
      <c r="L222" s="10"/>
      <c r="N222" s="8"/>
      <c r="O222" s="8"/>
      <c r="P222" s="65"/>
      <c r="Q222" s="50"/>
      <c r="S222" s="39">
        <v>305</v>
      </c>
      <c r="U222" s="40">
        <f>IF(ISNUMBER(Q222),Q222,S222)</f>
        <v>305</v>
      </c>
      <c r="W222" s="10"/>
      <c r="Y222" s="10"/>
      <c r="AA222" s="8"/>
    </row>
    <row r="223" spans="2:67" ht="3.95" customHeight="1" x14ac:dyDescent="0.2">
      <c r="H223" s="8"/>
      <c r="N223" s="8"/>
      <c r="O223" s="8"/>
      <c r="P223" s="65"/>
      <c r="U223" s="8"/>
      <c r="AA223" s="8"/>
    </row>
    <row r="224" spans="2:67" ht="15" customHeight="1" x14ac:dyDescent="0.2">
      <c r="B224" s="17" t="s">
        <v>109</v>
      </c>
      <c r="C224" s="17" t="s">
        <v>1</v>
      </c>
      <c r="H224" s="5">
        <f>H15*H220*H222</f>
        <v>0</v>
      </c>
      <c r="N224" s="8"/>
      <c r="O224" s="8"/>
      <c r="P224" s="65"/>
      <c r="U224" s="5">
        <f>U15*U220*U222</f>
        <v>0</v>
      </c>
      <c r="AA224" s="8"/>
    </row>
    <row r="225" spans="2:29" ht="3.95" customHeight="1" thickBot="1" x14ac:dyDescent="0.25">
      <c r="D225" s="10"/>
      <c r="F225" s="10"/>
      <c r="H225" s="8"/>
      <c r="J225" s="10"/>
      <c r="L225" s="10"/>
      <c r="N225" s="8"/>
      <c r="O225" s="8"/>
      <c r="P225" s="65"/>
      <c r="Q225" s="10"/>
      <c r="S225" s="10"/>
      <c r="U225" s="8"/>
      <c r="W225" s="10"/>
      <c r="Y225" s="10"/>
      <c r="AA225" s="8"/>
    </row>
    <row r="226" spans="2:29" ht="15" customHeight="1" thickTop="1" x14ac:dyDescent="0.2">
      <c r="B226" s="17" t="s">
        <v>110</v>
      </c>
      <c r="C226" s="17" t="s">
        <v>101</v>
      </c>
      <c r="D226" s="50"/>
      <c r="F226" s="39">
        <v>0</v>
      </c>
      <c r="H226" s="40">
        <f>IF(ISNUMBER(D226),D226,F226)</f>
        <v>0</v>
      </c>
      <c r="J226" s="10"/>
      <c r="L226" s="10"/>
      <c r="N226" s="8"/>
      <c r="O226" s="8"/>
      <c r="P226" s="65"/>
      <c r="Q226" s="50"/>
      <c r="S226" s="39">
        <v>0</v>
      </c>
      <c r="U226" s="40">
        <f>IF(ISNUMBER(Q226),Q226,S226)</f>
        <v>0</v>
      </c>
      <c r="W226" s="10"/>
      <c r="Y226" s="10"/>
      <c r="AA226" s="8"/>
      <c r="AC226" s="53"/>
    </row>
    <row r="227" spans="2:29" ht="3.95" customHeight="1" x14ac:dyDescent="0.2">
      <c r="D227" s="10"/>
      <c r="F227" s="10"/>
      <c r="H227" s="8"/>
      <c r="J227" s="10"/>
      <c r="L227" s="10"/>
      <c r="N227" s="8"/>
      <c r="O227" s="8"/>
      <c r="P227" s="65"/>
      <c r="Q227" s="10"/>
      <c r="S227" s="10"/>
      <c r="U227" s="8"/>
      <c r="W227" s="10"/>
      <c r="Y227" s="10"/>
      <c r="AA227" s="8"/>
    </row>
    <row r="228" spans="2:29" ht="15" customHeight="1" x14ac:dyDescent="0.2">
      <c r="B228" s="17" t="s">
        <v>110</v>
      </c>
      <c r="C228" s="17" t="s">
        <v>61</v>
      </c>
      <c r="H228" s="30">
        <f>H226/60*$H7</f>
        <v>0</v>
      </c>
      <c r="N228" s="8"/>
      <c r="O228" s="8"/>
      <c r="P228" s="65"/>
      <c r="U228" s="30">
        <f>U226/60*$U7</f>
        <v>0</v>
      </c>
      <c r="AA228" s="8"/>
    </row>
    <row r="229" spans="2:29" ht="3.95" customHeight="1" thickBot="1" x14ac:dyDescent="0.25">
      <c r="D229" s="10"/>
      <c r="F229" s="10"/>
      <c r="H229" s="8"/>
      <c r="J229" s="10"/>
      <c r="L229" s="10"/>
      <c r="N229" s="8"/>
      <c r="O229" s="8"/>
      <c r="P229" s="65"/>
      <c r="Q229" s="10"/>
      <c r="S229" s="10"/>
      <c r="U229" s="8"/>
      <c r="W229" s="10"/>
      <c r="Y229" s="10"/>
      <c r="AA229" s="8"/>
    </row>
    <row r="230" spans="2:29" ht="15" customHeight="1" thickTop="1" x14ac:dyDescent="0.2">
      <c r="B230" s="17" t="s">
        <v>110</v>
      </c>
      <c r="C230" s="17" t="s">
        <v>108</v>
      </c>
      <c r="D230" s="50"/>
      <c r="F230" s="39">
        <v>250</v>
      </c>
      <c r="H230" s="40">
        <f>IF(ISNUMBER(D230),D230,F230)</f>
        <v>250</v>
      </c>
      <c r="J230" s="10"/>
      <c r="L230" s="10"/>
      <c r="N230" s="8"/>
      <c r="O230" s="8"/>
      <c r="P230" s="65"/>
      <c r="Q230" s="50"/>
      <c r="S230" s="39">
        <v>250</v>
      </c>
      <c r="U230" s="40">
        <f>IF(ISNUMBER(Q230),Q230,S230)</f>
        <v>250</v>
      </c>
      <c r="W230" s="10"/>
      <c r="Y230" s="10"/>
      <c r="AA230" s="8"/>
    </row>
    <row r="231" spans="2:29" ht="3.95" customHeight="1" x14ac:dyDescent="0.2">
      <c r="H231" s="8"/>
      <c r="N231" s="8"/>
      <c r="O231" s="8"/>
      <c r="P231" s="65"/>
      <c r="U231" s="8"/>
      <c r="AA231" s="8"/>
    </row>
    <row r="232" spans="2:29" ht="15" customHeight="1" x14ac:dyDescent="0.2">
      <c r="B232" s="17" t="s">
        <v>110</v>
      </c>
      <c r="C232" s="17" t="s">
        <v>1</v>
      </c>
      <c r="H232" s="5">
        <f>H228*H230</f>
        <v>0</v>
      </c>
      <c r="N232" s="8"/>
      <c r="O232" s="8"/>
      <c r="P232" s="65"/>
      <c r="U232" s="5">
        <f>U228*U230</f>
        <v>0</v>
      </c>
      <c r="AA232" s="8"/>
    </row>
    <row r="233" spans="2:29" ht="3.95" customHeight="1" x14ac:dyDescent="0.2">
      <c r="D233" s="10"/>
      <c r="F233" s="10"/>
      <c r="H233" s="8"/>
      <c r="J233" s="10"/>
      <c r="L233" s="10"/>
      <c r="N233" s="8"/>
      <c r="O233" s="8"/>
      <c r="P233" s="65"/>
      <c r="Q233" s="10"/>
      <c r="S233" s="10"/>
      <c r="U233" s="8"/>
      <c r="W233" s="10"/>
      <c r="Y233" s="10"/>
      <c r="AA233" s="8"/>
    </row>
    <row r="234" spans="2:29" ht="15" customHeight="1" thickBot="1" x14ac:dyDescent="0.25">
      <c r="B234" s="16" t="s">
        <v>116</v>
      </c>
      <c r="H234" s="17"/>
      <c r="N234" s="17"/>
      <c r="U234" s="17"/>
      <c r="AA234" s="17"/>
    </row>
    <row r="235" spans="2:29" ht="15" customHeight="1" thickTop="1" x14ac:dyDescent="0.2">
      <c r="B235" s="17" t="s">
        <v>118</v>
      </c>
      <c r="C235" s="17" t="s">
        <v>117</v>
      </c>
      <c r="D235" s="50"/>
      <c r="F235" s="39">
        <f>$H15*$H17*2.44*(N45+N49-(H45+H49))/1000</f>
        <v>0</v>
      </c>
      <c r="H235" s="40">
        <f>IF(ISNUMBER(D235),D235,F235)</f>
        <v>0</v>
      </c>
      <c r="N235" s="17"/>
      <c r="Q235" s="27"/>
      <c r="S235" s="39">
        <f>$U15*$U17*2.44*(AA45+AA49-(U45+U49))/1000</f>
        <v>0</v>
      </c>
      <c r="U235" s="40">
        <f>IF(ISNUMBER(Q235),Q235,S235)</f>
        <v>0</v>
      </c>
      <c r="AA235" s="17"/>
    </row>
    <row r="236" spans="2:29" ht="3.95" customHeight="1" x14ac:dyDescent="0.2">
      <c r="H236" s="17"/>
      <c r="N236" s="17"/>
      <c r="U236" s="17"/>
      <c r="AA236" s="17"/>
    </row>
    <row r="237" spans="2:29" ht="15" customHeight="1" x14ac:dyDescent="0.2">
      <c r="B237" s="16" t="s">
        <v>19</v>
      </c>
      <c r="H237" s="17"/>
      <c r="N237" s="17"/>
      <c r="U237" s="17"/>
      <c r="AA237" s="17"/>
    </row>
    <row r="238" spans="2:29" ht="15" customHeight="1" x14ac:dyDescent="0.2">
      <c r="B238" s="17" t="s">
        <v>91</v>
      </c>
      <c r="C238" s="17" t="s">
        <v>47</v>
      </c>
      <c r="H238" s="14">
        <f>$H17*(H36+H58+H86+H99+H112+H151+H160+H165+H176+H185+H194+H201+H208+H213+H224+H232)+H140</f>
        <v>0</v>
      </c>
      <c r="N238" s="14">
        <f>$H17*(N36+N58+N86+N99+N112+N151+N160+N165+N176+N185+N194+N201+N208+N213+N224+N232)+N140</f>
        <v>0</v>
      </c>
      <c r="O238" s="28"/>
      <c r="P238" s="80"/>
      <c r="U238" s="14">
        <f>$S17*(U36+U58+U86+U99+U112+U151+U160+U165+U176+U185+U194+U201+U208+U213+U224+U232)+U140</f>
        <v>0</v>
      </c>
      <c r="AA238" s="14">
        <f>$S17*(AA36+AA58+AA86+AA99+AA112+AA151+AA160+AA165+AA176+AA185+AA194+AA201+AA208+AA213+AA224+AA232)+AA140</f>
        <v>0</v>
      </c>
    </row>
    <row r="239" spans="2:29" ht="3.95" customHeight="1" x14ac:dyDescent="0.2">
      <c r="H239" s="28"/>
      <c r="N239" s="28"/>
      <c r="O239" s="28"/>
      <c r="P239" s="80"/>
      <c r="U239" s="28"/>
      <c r="AA239" s="28"/>
    </row>
    <row r="240" spans="2:29" ht="15" customHeight="1" x14ac:dyDescent="0.2">
      <c r="B240" s="17" t="s">
        <v>115</v>
      </c>
      <c r="C240" s="17" t="s">
        <v>1</v>
      </c>
      <c r="H240" s="3">
        <f>H238-N238</f>
        <v>0</v>
      </c>
      <c r="N240" s="28"/>
      <c r="O240" s="28"/>
      <c r="P240" s="80"/>
      <c r="U240" s="3">
        <f>U238-AA238</f>
        <v>0</v>
      </c>
      <c r="AA240" s="28"/>
    </row>
    <row r="241" spans="1:65" ht="3.95" customHeight="1" thickBot="1" x14ac:dyDescent="0.25">
      <c r="H241" s="17"/>
      <c r="N241" s="17"/>
      <c r="U241" s="17"/>
      <c r="AA241" s="17"/>
    </row>
    <row r="242" spans="1:65" s="86" customFormat="1" ht="15" customHeight="1" x14ac:dyDescent="0.2">
      <c r="A242" s="83"/>
      <c r="B242" s="85" t="s">
        <v>167</v>
      </c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3"/>
      <c r="P242" s="84"/>
      <c r="Q242" s="83"/>
      <c r="R242" s="83"/>
      <c r="S242" s="83"/>
      <c r="T242" s="83"/>
      <c r="U242" s="83"/>
      <c r="V242" s="83"/>
      <c r="W242" s="83"/>
      <c r="X242" s="83"/>
      <c r="Y242" s="83"/>
      <c r="Z242" s="83"/>
      <c r="AA242" s="83"/>
      <c r="AB242" s="83"/>
      <c r="AC242" s="83"/>
      <c r="AD242" s="83"/>
      <c r="AE242" s="83"/>
      <c r="AF242" s="83"/>
      <c r="AG242" s="83"/>
      <c r="AH242" s="83"/>
      <c r="AI242" s="83"/>
      <c r="AJ242" s="83"/>
      <c r="AK242" s="83"/>
      <c r="AL242" s="83"/>
      <c r="AM242" s="83"/>
      <c r="AN242" s="83"/>
      <c r="AO242" s="83"/>
      <c r="AP242" s="83"/>
      <c r="AQ242" s="83"/>
      <c r="AR242" s="83"/>
      <c r="AS242" s="83"/>
      <c r="AT242" s="83"/>
      <c r="AU242" s="83"/>
      <c r="AV242" s="83"/>
      <c r="AW242" s="83"/>
      <c r="AX242" s="83"/>
      <c r="AY242" s="83"/>
      <c r="AZ242" s="83"/>
      <c r="BA242" s="83"/>
      <c r="BB242" s="83"/>
      <c r="BC242" s="83"/>
      <c r="BD242" s="83"/>
      <c r="BE242" s="83"/>
      <c r="BF242" s="83"/>
      <c r="BG242" s="83"/>
      <c r="BH242" s="83"/>
      <c r="BI242" s="83"/>
      <c r="BJ242" s="83"/>
      <c r="BK242" s="83"/>
      <c r="BL242" s="83"/>
      <c r="BM242" s="83"/>
    </row>
    <row r="243" spans="1:65" ht="15" customHeight="1" x14ac:dyDescent="0.2">
      <c r="B243" s="17" t="s">
        <v>141</v>
      </c>
      <c r="C243" s="17" t="s">
        <v>47</v>
      </c>
      <c r="H243" s="3">
        <f>H240+U240</f>
        <v>0</v>
      </c>
      <c r="N243" s="17"/>
      <c r="U243" s="17"/>
      <c r="AA243" s="17"/>
    </row>
    <row r="244" spans="1:65" ht="3.95" customHeight="1" thickBot="1" x14ac:dyDescent="0.25">
      <c r="H244" s="17"/>
      <c r="N244" s="17"/>
      <c r="U244" s="17"/>
      <c r="AA244" s="17"/>
    </row>
    <row r="245" spans="1:65" ht="15" customHeight="1" thickTop="1" x14ac:dyDescent="0.2">
      <c r="B245" s="17" t="s">
        <v>156</v>
      </c>
      <c r="C245" s="17" t="s">
        <v>0</v>
      </c>
      <c r="D245" s="50"/>
      <c r="F245" s="37">
        <v>0.5</v>
      </c>
      <c r="H245" s="38">
        <f>IF(ISNUMBER(D245),D245,F245)</f>
        <v>0.5</v>
      </c>
      <c r="N245" s="17"/>
      <c r="U245" s="17"/>
      <c r="AA245" s="17"/>
    </row>
    <row r="246" spans="1:65" ht="3.95" customHeight="1" x14ac:dyDescent="0.2">
      <c r="H246" s="17"/>
      <c r="N246" s="17"/>
      <c r="U246" s="17"/>
      <c r="AA246" s="17"/>
    </row>
    <row r="247" spans="1:65" ht="15" customHeight="1" x14ac:dyDescent="0.2">
      <c r="B247" s="17" t="s">
        <v>143</v>
      </c>
      <c r="C247" s="17" t="s">
        <v>47</v>
      </c>
      <c r="H247" s="60">
        <f>IF(H243&gt;0,H245*H243,0)</f>
        <v>0</v>
      </c>
      <c r="N247" s="17"/>
      <c r="U247" s="17"/>
      <c r="AA247" s="17"/>
    </row>
    <row r="248" spans="1:65" ht="3.95" customHeight="1" x14ac:dyDescent="0.2">
      <c r="H248" s="17"/>
      <c r="N248" s="17"/>
      <c r="U248" s="17"/>
      <c r="AA248" s="17"/>
    </row>
    <row r="249" spans="1:65" ht="15" customHeight="1" x14ac:dyDescent="0.2">
      <c r="B249" s="17" t="s">
        <v>142</v>
      </c>
      <c r="C249" s="17" t="s">
        <v>117</v>
      </c>
      <c r="H249" s="61">
        <f>H235+U235</f>
        <v>0</v>
      </c>
      <c r="N249" s="17"/>
      <c r="U249" s="17"/>
      <c r="AA249" s="17"/>
    </row>
    <row r="250" spans="1:65" ht="3.95" customHeight="1" x14ac:dyDescent="0.2">
      <c r="H250" s="17"/>
      <c r="N250" s="17"/>
      <c r="U250" s="17"/>
      <c r="AA250" s="17"/>
    </row>
    <row r="251" spans="1:65" ht="15" customHeight="1" x14ac:dyDescent="0.2">
      <c r="B251" s="17" t="s">
        <v>116</v>
      </c>
      <c r="C251" s="17" t="s">
        <v>119</v>
      </c>
      <c r="H251" s="60">
        <f>IF(H243&gt;0,IFERROR(H243/H249,0),0)</f>
        <v>0</v>
      </c>
      <c r="N251" s="17"/>
      <c r="U251" s="17"/>
      <c r="AA251" s="17"/>
    </row>
    <row r="252" spans="1:65" x14ac:dyDescent="0.2">
      <c r="H252" s="17"/>
      <c r="N252" s="17"/>
      <c r="U252" s="17"/>
      <c r="AA252" s="17"/>
    </row>
    <row r="253" spans="1:65" x14ac:dyDescent="0.2">
      <c r="H253" s="17"/>
      <c r="N253" s="17"/>
      <c r="U253" s="17"/>
      <c r="AA253" s="17"/>
    </row>
    <row r="254" spans="1:65" x14ac:dyDescent="0.2">
      <c r="H254" s="17"/>
      <c r="N254" s="17"/>
      <c r="U254" s="17"/>
      <c r="AA254" s="17"/>
    </row>
    <row r="255" spans="1:65" x14ac:dyDescent="0.2">
      <c r="H255" s="17"/>
      <c r="N255" s="17"/>
      <c r="U255" s="17"/>
      <c r="AA255" s="17"/>
    </row>
    <row r="256" spans="1:65" x14ac:dyDescent="0.2">
      <c r="H256" s="17"/>
      <c r="N256" s="17"/>
      <c r="U256" s="17"/>
      <c r="AA256" s="17"/>
    </row>
    <row r="257" spans="8:27" x14ac:dyDescent="0.2">
      <c r="H257" s="17"/>
      <c r="N257" s="17"/>
      <c r="U257" s="17"/>
      <c r="AA257" s="17"/>
    </row>
    <row r="258" spans="8:27" x14ac:dyDescent="0.2">
      <c r="H258" s="17"/>
      <c r="N258" s="17"/>
      <c r="U258" s="17"/>
      <c r="AA258" s="17"/>
    </row>
    <row r="259" spans="8:27" x14ac:dyDescent="0.2">
      <c r="H259" s="17"/>
      <c r="N259" s="17"/>
      <c r="U259" s="17"/>
      <c r="AA259" s="17"/>
    </row>
    <row r="260" spans="8:27" x14ac:dyDescent="0.2">
      <c r="H260" s="17"/>
      <c r="N260" s="17"/>
      <c r="U260" s="17"/>
      <c r="AA260" s="17"/>
    </row>
    <row r="261" spans="8:27" x14ac:dyDescent="0.2">
      <c r="H261" s="17"/>
      <c r="N261" s="17"/>
      <c r="U261" s="17"/>
      <c r="AA261" s="17"/>
    </row>
    <row r="262" spans="8:27" x14ac:dyDescent="0.2">
      <c r="H262" s="17"/>
      <c r="N262" s="17"/>
      <c r="U262" s="17"/>
      <c r="AA262" s="17"/>
    </row>
    <row r="263" spans="8:27" x14ac:dyDescent="0.2">
      <c r="H263" s="17"/>
      <c r="N263" s="17"/>
      <c r="U263" s="17"/>
      <c r="AA263" s="17"/>
    </row>
    <row r="264" spans="8:27" x14ac:dyDescent="0.2">
      <c r="H264" s="17"/>
      <c r="N264" s="17"/>
      <c r="U264" s="17"/>
      <c r="AA264" s="17"/>
    </row>
    <row r="265" spans="8:27" x14ac:dyDescent="0.2">
      <c r="H265" s="17"/>
      <c r="N265" s="17"/>
      <c r="U265" s="17"/>
      <c r="AA265" s="17"/>
    </row>
    <row r="266" spans="8:27" x14ac:dyDescent="0.2">
      <c r="H266" s="17"/>
      <c r="N266" s="17"/>
      <c r="U266" s="17"/>
      <c r="AA266" s="17"/>
    </row>
    <row r="267" spans="8:27" x14ac:dyDescent="0.2">
      <c r="H267" s="17"/>
      <c r="N267" s="17"/>
      <c r="U267" s="17"/>
      <c r="AA267" s="17"/>
    </row>
    <row r="268" spans="8:27" x14ac:dyDescent="0.2">
      <c r="H268" s="17"/>
      <c r="N268" s="17"/>
      <c r="U268" s="17"/>
      <c r="AA268" s="17"/>
    </row>
    <row r="269" spans="8:27" x14ac:dyDescent="0.2">
      <c r="H269" s="17"/>
      <c r="N269" s="17"/>
      <c r="U269" s="17"/>
      <c r="AA269" s="17"/>
    </row>
    <row r="270" spans="8:27" x14ac:dyDescent="0.2">
      <c r="H270" s="17"/>
      <c r="N270" s="17"/>
      <c r="U270" s="17"/>
      <c r="AA270" s="17"/>
    </row>
    <row r="271" spans="8:27" x14ac:dyDescent="0.2">
      <c r="H271" s="17"/>
      <c r="N271" s="17"/>
      <c r="U271" s="17"/>
      <c r="AA271" s="17"/>
    </row>
    <row r="272" spans="8:27" x14ac:dyDescent="0.2">
      <c r="H272" s="17"/>
      <c r="N272" s="17"/>
      <c r="U272" s="17"/>
      <c r="AA272" s="17"/>
    </row>
    <row r="273" spans="8:27" x14ac:dyDescent="0.2">
      <c r="H273" s="17"/>
      <c r="N273" s="17"/>
      <c r="U273" s="17"/>
      <c r="AA273" s="17"/>
    </row>
    <row r="274" spans="8:27" x14ac:dyDescent="0.2">
      <c r="H274" s="17"/>
      <c r="N274" s="17"/>
      <c r="U274" s="17"/>
      <c r="AA274" s="17"/>
    </row>
    <row r="275" spans="8:27" x14ac:dyDescent="0.2">
      <c r="H275" s="17"/>
      <c r="N275" s="17"/>
      <c r="U275" s="17"/>
      <c r="AA275" s="17"/>
    </row>
    <row r="276" spans="8:27" x14ac:dyDescent="0.2">
      <c r="H276" s="17"/>
      <c r="N276" s="17"/>
      <c r="U276" s="17"/>
      <c r="AA276" s="17"/>
    </row>
    <row r="277" spans="8:27" x14ac:dyDescent="0.2">
      <c r="H277" s="17"/>
      <c r="N277" s="17"/>
      <c r="U277" s="17"/>
      <c r="AA277" s="17"/>
    </row>
    <row r="278" spans="8:27" x14ac:dyDescent="0.2">
      <c r="H278" s="17"/>
      <c r="N278" s="17"/>
      <c r="U278" s="17"/>
      <c r="AA278" s="17"/>
    </row>
    <row r="279" spans="8:27" x14ac:dyDescent="0.2">
      <c r="H279" s="17"/>
      <c r="N279" s="17"/>
      <c r="U279" s="17"/>
      <c r="AA279" s="17"/>
    </row>
    <row r="280" spans="8:27" x14ac:dyDescent="0.2">
      <c r="H280" s="17"/>
      <c r="N280" s="17"/>
      <c r="U280" s="17"/>
      <c r="AA280" s="17"/>
    </row>
    <row r="281" spans="8:27" x14ac:dyDescent="0.2">
      <c r="H281" s="17"/>
      <c r="N281" s="17"/>
      <c r="U281" s="17"/>
      <c r="AA281" s="17"/>
    </row>
    <row r="282" spans="8:27" x14ac:dyDescent="0.2">
      <c r="H282" s="17"/>
      <c r="N282" s="17"/>
      <c r="U282" s="17"/>
      <c r="AA282" s="17"/>
    </row>
    <row r="283" spans="8:27" x14ac:dyDescent="0.2">
      <c r="H283" s="17"/>
      <c r="N283" s="17"/>
      <c r="U283" s="17"/>
      <c r="AA283" s="17"/>
    </row>
    <row r="284" spans="8:27" x14ac:dyDescent="0.2">
      <c r="H284" s="17"/>
      <c r="N284" s="17"/>
      <c r="U284" s="17"/>
      <c r="AA284" s="17"/>
    </row>
    <row r="285" spans="8:27" x14ac:dyDescent="0.2">
      <c r="H285" s="17"/>
      <c r="N285" s="17"/>
      <c r="U285" s="17"/>
      <c r="AA285" s="17"/>
    </row>
    <row r="286" spans="8:27" x14ac:dyDescent="0.2">
      <c r="H286" s="17"/>
      <c r="N286" s="17"/>
      <c r="U286" s="17"/>
      <c r="AA286" s="17"/>
    </row>
    <row r="287" spans="8:27" x14ac:dyDescent="0.2">
      <c r="H287" s="17"/>
      <c r="N287" s="17"/>
      <c r="U287" s="17"/>
      <c r="AA287" s="17"/>
    </row>
    <row r="288" spans="8:27" x14ac:dyDescent="0.2">
      <c r="H288" s="17"/>
      <c r="N288" s="17"/>
      <c r="U288" s="17"/>
      <c r="AA288" s="17"/>
    </row>
    <row r="289" spans="8:27" x14ac:dyDescent="0.2">
      <c r="H289" s="17"/>
      <c r="N289" s="17"/>
      <c r="U289" s="17"/>
      <c r="AA289" s="17"/>
    </row>
    <row r="290" spans="8:27" x14ac:dyDescent="0.2">
      <c r="H290" s="17"/>
      <c r="N290" s="17"/>
      <c r="U290" s="17"/>
      <c r="AA290" s="17"/>
    </row>
    <row r="291" spans="8:27" x14ac:dyDescent="0.2">
      <c r="H291" s="17"/>
      <c r="N291" s="17"/>
      <c r="U291" s="17"/>
      <c r="AA291" s="17"/>
    </row>
    <row r="292" spans="8:27" x14ac:dyDescent="0.2">
      <c r="H292" s="17"/>
      <c r="N292" s="17"/>
      <c r="U292" s="17"/>
      <c r="AA292" s="17"/>
    </row>
    <row r="293" spans="8:27" x14ac:dyDescent="0.2">
      <c r="H293" s="17"/>
      <c r="N293" s="17"/>
      <c r="U293" s="17"/>
      <c r="AA293" s="17"/>
    </row>
    <row r="294" spans="8:27" x14ac:dyDescent="0.2">
      <c r="H294" s="17"/>
      <c r="N294" s="17"/>
      <c r="U294" s="17"/>
      <c r="AA294" s="17"/>
    </row>
    <row r="295" spans="8:27" x14ac:dyDescent="0.2">
      <c r="H295" s="17"/>
      <c r="N295" s="17"/>
      <c r="U295" s="17"/>
      <c r="AA295" s="17"/>
    </row>
    <row r="296" spans="8:27" x14ac:dyDescent="0.2">
      <c r="H296" s="17"/>
      <c r="N296" s="17"/>
      <c r="U296" s="17"/>
      <c r="AA296" s="17"/>
    </row>
    <row r="297" spans="8:27" x14ac:dyDescent="0.2">
      <c r="H297" s="17"/>
      <c r="N297" s="17"/>
      <c r="U297" s="17"/>
      <c r="AA297" s="17"/>
    </row>
    <row r="298" spans="8:27" x14ac:dyDescent="0.2">
      <c r="H298" s="17"/>
      <c r="N298" s="17"/>
      <c r="U298" s="17"/>
      <c r="AA298" s="17"/>
    </row>
    <row r="299" spans="8:27" x14ac:dyDescent="0.2">
      <c r="H299" s="17"/>
      <c r="N299" s="17"/>
      <c r="U299" s="17"/>
      <c r="AA299" s="17"/>
    </row>
    <row r="300" spans="8:27" x14ac:dyDescent="0.2">
      <c r="H300" s="17"/>
      <c r="N300" s="17"/>
      <c r="U300" s="17"/>
      <c r="AA300" s="17"/>
    </row>
    <row r="301" spans="8:27" x14ac:dyDescent="0.2">
      <c r="H301" s="17"/>
      <c r="N301" s="17"/>
      <c r="U301" s="17"/>
      <c r="AA301" s="17"/>
    </row>
    <row r="302" spans="8:27" x14ac:dyDescent="0.2">
      <c r="H302" s="17"/>
      <c r="N302" s="17"/>
      <c r="U302" s="17"/>
      <c r="AA302" s="17"/>
    </row>
    <row r="303" spans="8:27" x14ac:dyDescent="0.2">
      <c r="H303" s="17"/>
      <c r="N303" s="17"/>
      <c r="U303" s="17"/>
      <c r="AA303" s="17"/>
    </row>
    <row r="304" spans="8:27" x14ac:dyDescent="0.2">
      <c r="H304" s="17"/>
      <c r="N304" s="17"/>
      <c r="U304" s="17"/>
      <c r="AA304" s="17"/>
    </row>
    <row r="305" spans="8:27" x14ac:dyDescent="0.2">
      <c r="H305" s="17"/>
      <c r="N305" s="17"/>
      <c r="U305" s="17"/>
      <c r="AA305" s="17"/>
    </row>
    <row r="306" spans="8:27" x14ac:dyDescent="0.2">
      <c r="H306" s="17"/>
      <c r="N306" s="17"/>
      <c r="U306" s="17"/>
      <c r="AA306" s="17"/>
    </row>
    <row r="307" spans="8:27" x14ac:dyDescent="0.2">
      <c r="H307" s="17"/>
      <c r="N307" s="17"/>
      <c r="U307" s="17"/>
      <c r="AA307" s="17"/>
    </row>
    <row r="308" spans="8:27" x14ac:dyDescent="0.2">
      <c r="H308" s="17"/>
      <c r="N308" s="17"/>
      <c r="U308" s="17"/>
      <c r="AA308" s="17"/>
    </row>
    <row r="309" spans="8:27" x14ac:dyDescent="0.2">
      <c r="H309" s="17"/>
      <c r="N309" s="17"/>
      <c r="U309" s="17"/>
      <c r="AA309" s="17"/>
    </row>
    <row r="310" spans="8:27" x14ac:dyDescent="0.2">
      <c r="H310" s="17"/>
      <c r="N310" s="17"/>
      <c r="U310" s="17"/>
      <c r="AA310" s="17"/>
    </row>
    <row r="311" spans="8:27" x14ac:dyDescent="0.2">
      <c r="H311" s="17"/>
      <c r="N311" s="17"/>
      <c r="U311" s="17"/>
      <c r="AA311" s="17"/>
    </row>
    <row r="312" spans="8:27" x14ac:dyDescent="0.2">
      <c r="H312" s="17"/>
      <c r="N312" s="17"/>
      <c r="U312" s="17"/>
      <c r="AA312" s="17"/>
    </row>
    <row r="313" spans="8:27" x14ac:dyDescent="0.2">
      <c r="H313" s="17"/>
      <c r="N313" s="17"/>
      <c r="U313" s="17"/>
      <c r="AA313" s="17"/>
    </row>
    <row r="314" spans="8:27" x14ac:dyDescent="0.2">
      <c r="H314" s="17"/>
      <c r="N314" s="17"/>
      <c r="U314" s="17"/>
      <c r="AA314" s="17"/>
    </row>
    <row r="315" spans="8:27" x14ac:dyDescent="0.2">
      <c r="H315" s="17"/>
      <c r="N315" s="17"/>
      <c r="U315" s="17"/>
      <c r="AA315" s="17"/>
    </row>
    <row r="316" spans="8:27" x14ac:dyDescent="0.2">
      <c r="H316" s="17"/>
      <c r="N316" s="17"/>
      <c r="U316" s="17"/>
      <c r="AA316" s="17"/>
    </row>
    <row r="317" spans="8:27" x14ac:dyDescent="0.2">
      <c r="H317" s="17"/>
      <c r="N317" s="17"/>
      <c r="U317" s="17"/>
      <c r="AA317" s="17"/>
    </row>
    <row r="318" spans="8:27" x14ac:dyDescent="0.2">
      <c r="H318" s="17"/>
      <c r="N318" s="17"/>
      <c r="U318" s="17"/>
      <c r="AA318" s="17"/>
    </row>
    <row r="319" spans="8:27" x14ac:dyDescent="0.2">
      <c r="H319" s="17"/>
      <c r="N319" s="17"/>
      <c r="U319" s="17"/>
      <c r="AA319" s="17"/>
    </row>
    <row r="320" spans="8:27" x14ac:dyDescent="0.2">
      <c r="H320" s="17"/>
      <c r="N320" s="17"/>
      <c r="U320" s="17"/>
      <c r="AA320" s="17"/>
    </row>
    <row r="321" spans="8:27" x14ac:dyDescent="0.2">
      <c r="H321" s="17"/>
      <c r="N321" s="17"/>
      <c r="U321" s="17"/>
      <c r="AA321" s="17"/>
    </row>
    <row r="322" spans="8:27" x14ac:dyDescent="0.2">
      <c r="H322" s="17"/>
      <c r="N322" s="17"/>
      <c r="U322" s="17"/>
      <c r="AA322" s="17"/>
    </row>
    <row r="323" spans="8:27" x14ac:dyDescent="0.2">
      <c r="H323" s="17"/>
      <c r="N323" s="17"/>
      <c r="U323" s="17"/>
      <c r="AA323" s="17"/>
    </row>
    <row r="324" spans="8:27" x14ac:dyDescent="0.2">
      <c r="H324" s="17"/>
      <c r="N324" s="17"/>
      <c r="U324" s="17"/>
      <c r="AA324" s="17"/>
    </row>
    <row r="325" spans="8:27" x14ac:dyDescent="0.2">
      <c r="H325" s="17"/>
      <c r="N325" s="17"/>
      <c r="U325" s="17"/>
      <c r="AA325" s="17"/>
    </row>
    <row r="326" spans="8:27" x14ac:dyDescent="0.2">
      <c r="H326" s="17"/>
      <c r="N326" s="17"/>
      <c r="U326" s="17"/>
      <c r="AA326" s="17"/>
    </row>
    <row r="327" spans="8:27" x14ac:dyDescent="0.2">
      <c r="H327" s="17"/>
      <c r="N327" s="17"/>
      <c r="U327" s="17"/>
      <c r="AA327" s="17"/>
    </row>
    <row r="328" spans="8:27" x14ac:dyDescent="0.2">
      <c r="H328" s="17"/>
      <c r="N328" s="17"/>
      <c r="U328" s="17"/>
      <c r="AA328" s="17"/>
    </row>
    <row r="329" spans="8:27" x14ac:dyDescent="0.2">
      <c r="H329" s="17"/>
      <c r="N329" s="17"/>
      <c r="U329" s="17"/>
      <c r="AA329" s="17"/>
    </row>
    <row r="330" spans="8:27" x14ac:dyDescent="0.2">
      <c r="H330" s="17"/>
      <c r="N330" s="17"/>
      <c r="U330" s="17"/>
      <c r="AA330" s="17"/>
    </row>
    <row r="331" spans="8:27" x14ac:dyDescent="0.2">
      <c r="H331" s="17"/>
      <c r="N331" s="17"/>
      <c r="U331" s="17"/>
      <c r="AA331" s="17"/>
    </row>
    <row r="332" spans="8:27" x14ac:dyDescent="0.2">
      <c r="H332" s="17"/>
      <c r="N332" s="17"/>
      <c r="U332" s="17"/>
      <c r="AA332" s="17"/>
    </row>
    <row r="333" spans="8:27" x14ac:dyDescent="0.2">
      <c r="H333" s="17"/>
      <c r="N333" s="17"/>
      <c r="U333" s="17"/>
      <c r="AA333" s="17"/>
    </row>
    <row r="334" spans="8:27" x14ac:dyDescent="0.2">
      <c r="H334" s="17"/>
      <c r="N334" s="17"/>
      <c r="U334" s="17"/>
      <c r="AA334" s="17"/>
    </row>
    <row r="335" spans="8:27" x14ac:dyDescent="0.2">
      <c r="H335" s="17"/>
      <c r="N335" s="17"/>
      <c r="U335" s="17"/>
      <c r="AA335" s="17"/>
    </row>
    <row r="336" spans="8:27" x14ac:dyDescent="0.2">
      <c r="H336" s="17"/>
      <c r="N336" s="17"/>
      <c r="U336" s="17"/>
      <c r="AA336" s="17"/>
    </row>
    <row r="337" spans="8:27" x14ac:dyDescent="0.2">
      <c r="H337" s="17"/>
      <c r="N337" s="17"/>
      <c r="U337" s="17"/>
      <c r="AA337" s="17"/>
    </row>
    <row r="338" spans="8:27" x14ac:dyDescent="0.2">
      <c r="H338" s="17"/>
      <c r="N338" s="17"/>
      <c r="U338" s="17"/>
      <c r="AA338" s="17"/>
    </row>
    <row r="339" spans="8:27" x14ac:dyDescent="0.2">
      <c r="H339" s="17"/>
      <c r="N339" s="17"/>
      <c r="U339" s="17"/>
      <c r="AA339" s="17"/>
    </row>
    <row r="340" spans="8:27" x14ac:dyDescent="0.2">
      <c r="H340" s="17"/>
      <c r="N340" s="17"/>
      <c r="U340" s="17"/>
      <c r="AA340" s="17"/>
    </row>
    <row r="341" spans="8:27" x14ac:dyDescent="0.2">
      <c r="H341" s="17"/>
      <c r="N341" s="17"/>
      <c r="U341" s="17"/>
      <c r="AA341" s="17"/>
    </row>
    <row r="342" spans="8:27" x14ac:dyDescent="0.2">
      <c r="H342" s="17"/>
      <c r="N342" s="17"/>
      <c r="U342" s="17"/>
      <c r="AA342" s="17"/>
    </row>
    <row r="343" spans="8:27" x14ac:dyDescent="0.2">
      <c r="H343" s="17"/>
      <c r="N343" s="17"/>
      <c r="U343" s="17"/>
      <c r="AA343" s="17"/>
    </row>
    <row r="344" spans="8:27" x14ac:dyDescent="0.2">
      <c r="H344" s="17"/>
      <c r="N344" s="17"/>
      <c r="U344" s="17"/>
      <c r="AA344" s="17"/>
    </row>
    <row r="345" spans="8:27" x14ac:dyDescent="0.2">
      <c r="H345" s="17"/>
      <c r="N345" s="17"/>
      <c r="U345" s="17"/>
      <c r="AA345" s="17"/>
    </row>
    <row r="346" spans="8:27" x14ac:dyDescent="0.2">
      <c r="H346" s="17"/>
      <c r="N346" s="17"/>
      <c r="U346" s="17"/>
      <c r="AA346" s="17"/>
    </row>
    <row r="347" spans="8:27" x14ac:dyDescent="0.2">
      <c r="H347" s="17"/>
      <c r="N347" s="17"/>
      <c r="U347" s="17"/>
      <c r="AA347" s="17"/>
    </row>
    <row r="348" spans="8:27" x14ac:dyDescent="0.2">
      <c r="H348" s="17"/>
      <c r="N348" s="17"/>
      <c r="U348" s="17"/>
      <c r="AA348" s="17"/>
    </row>
    <row r="349" spans="8:27" x14ac:dyDescent="0.2">
      <c r="H349" s="17"/>
      <c r="N349" s="17"/>
      <c r="U349" s="17"/>
      <c r="AA349" s="17"/>
    </row>
    <row r="350" spans="8:27" x14ac:dyDescent="0.2">
      <c r="H350" s="17"/>
      <c r="N350" s="17"/>
      <c r="U350" s="17"/>
      <c r="AA350" s="17"/>
    </row>
    <row r="351" spans="8:27" x14ac:dyDescent="0.2">
      <c r="H351" s="17"/>
      <c r="N351" s="17"/>
      <c r="U351" s="17"/>
      <c r="AA351" s="17"/>
    </row>
    <row r="352" spans="8:27" x14ac:dyDescent="0.2">
      <c r="H352" s="17"/>
      <c r="N352" s="17"/>
      <c r="U352" s="17"/>
      <c r="AA352" s="17"/>
    </row>
    <row r="353" spans="8:27" x14ac:dyDescent="0.2">
      <c r="H353" s="17"/>
      <c r="N353" s="17"/>
      <c r="U353" s="17"/>
      <c r="AA353" s="17"/>
    </row>
    <row r="354" spans="8:27" x14ac:dyDescent="0.2">
      <c r="H354" s="17"/>
      <c r="N354" s="17"/>
      <c r="U354" s="17"/>
      <c r="AA354" s="17"/>
    </row>
    <row r="355" spans="8:27" x14ac:dyDescent="0.2">
      <c r="H355" s="17"/>
      <c r="N355" s="17"/>
      <c r="U355" s="17"/>
      <c r="AA355" s="17"/>
    </row>
    <row r="356" spans="8:27" x14ac:dyDescent="0.2">
      <c r="H356" s="17"/>
      <c r="N356" s="17"/>
      <c r="U356" s="17"/>
      <c r="AA356" s="17"/>
    </row>
    <row r="357" spans="8:27" x14ac:dyDescent="0.2">
      <c r="H357" s="17"/>
      <c r="N357" s="17"/>
      <c r="U357" s="17"/>
      <c r="AA357" s="17"/>
    </row>
    <row r="358" spans="8:27" x14ac:dyDescent="0.2">
      <c r="H358" s="17"/>
      <c r="N358" s="17"/>
      <c r="U358" s="17"/>
      <c r="AA358" s="17"/>
    </row>
    <row r="359" spans="8:27" x14ac:dyDescent="0.2">
      <c r="H359" s="17"/>
      <c r="N359" s="17"/>
      <c r="U359" s="17"/>
      <c r="AA359" s="17"/>
    </row>
    <row r="360" spans="8:27" x14ac:dyDescent="0.2">
      <c r="H360" s="17"/>
      <c r="N360" s="17"/>
      <c r="U360" s="17"/>
      <c r="AA360" s="17"/>
    </row>
    <row r="361" spans="8:27" x14ac:dyDescent="0.2">
      <c r="H361" s="17"/>
      <c r="N361" s="17"/>
      <c r="U361" s="17"/>
      <c r="AA361" s="17"/>
    </row>
    <row r="362" spans="8:27" x14ac:dyDescent="0.2">
      <c r="H362" s="17"/>
      <c r="N362" s="17"/>
      <c r="U362" s="17"/>
      <c r="AA362" s="17"/>
    </row>
    <row r="363" spans="8:27" x14ac:dyDescent="0.2">
      <c r="H363" s="17"/>
      <c r="N363" s="17"/>
      <c r="U363" s="17"/>
      <c r="AA363" s="17"/>
    </row>
    <row r="364" spans="8:27" x14ac:dyDescent="0.2">
      <c r="H364" s="17"/>
      <c r="N364" s="17"/>
      <c r="U364" s="17"/>
      <c r="AA364" s="17"/>
    </row>
    <row r="365" spans="8:27" x14ac:dyDescent="0.2">
      <c r="H365" s="17"/>
      <c r="N365" s="17"/>
      <c r="U365" s="17"/>
      <c r="AA365" s="17"/>
    </row>
    <row r="366" spans="8:27" x14ac:dyDescent="0.2">
      <c r="H366" s="17"/>
      <c r="N366" s="17"/>
      <c r="U366" s="17"/>
      <c r="AA366" s="17"/>
    </row>
    <row r="367" spans="8:27" x14ac:dyDescent="0.2">
      <c r="H367" s="17"/>
      <c r="N367" s="17"/>
      <c r="U367" s="17"/>
      <c r="AA367" s="17"/>
    </row>
    <row r="368" spans="8:27" x14ac:dyDescent="0.2">
      <c r="H368" s="17"/>
      <c r="N368" s="17"/>
      <c r="U368" s="17"/>
      <c r="AA368" s="17"/>
    </row>
    <row r="369" spans="8:27" x14ac:dyDescent="0.2">
      <c r="H369" s="17"/>
      <c r="N369" s="17"/>
      <c r="U369" s="17"/>
      <c r="AA369" s="17"/>
    </row>
    <row r="370" spans="8:27" x14ac:dyDescent="0.2">
      <c r="H370" s="17"/>
      <c r="N370" s="17"/>
      <c r="U370" s="17"/>
      <c r="AA370" s="17"/>
    </row>
    <row r="371" spans="8:27" x14ac:dyDescent="0.2">
      <c r="H371" s="17"/>
      <c r="N371" s="17"/>
      <c r="U371" s="17"/>
      <c r="AA371" s="17"/>
    </row>
    <row r="372" spans="8:27" x14ac:dyDescent="0.2">
      <c r="H372" s="17"/>
      <c r="N372" s="17"/>
      <c r="U372" s="17"/>
      <c r="AA372" s="17"/>
    </row>
    <row r="373" spans="8:27" x14ac:dyDescent="0.2">
      <c r="H373" s="17"/>
      <c r="N373" s="17"/>
      <c r="U373" s="17"/>
      <c r="AA373" s="17"/>
    </row>
    <row r="374" spans="8:27" x14ac:dyDescent="0.2">
      <c r="H374" s="17"/>
      <c r="N374" s="17"/>
      <c r="U374" s="17"/>
      <c r="AA374" s="17"/>
    </row>
    <row r="375" spans="8:27" x14ac:dyDescent="0.2">
      <c r="H375" s="17"/>
      <c r="N375" s="17"/>
      <c r="U375" s="17"/>
      <c r="AA375" s="17"/>
    </row>
    <row r="376" spans="8:27" x14ac:dyDescent="0.2">
      <c r="H376" s="17"/>
      <c r="N376" s="17"/>
      <c r="U376" s="17"/>
      <c r="AA376" s="17"/>
    </row>
    <row r="377" spans="8:27" x14ac:dyDescent="0.2">
      <c r="H377" s="17"/>
      <c r="N377" s="17"/>
      <c r="U377" s="17"/>
      <c r="AA377" s="17"/>
    </row>
    <row r="378" spans="8:27" x14ac:dyDescent="0.2">
      <c r="H378" s="17"/>
      <c r="N378" s="17"/>
      <c r="U378" s="17"/>
      <c r="AA378" s="17"/>
    </row>
    <row r="379" spans="8:27" x14ac:dyDescent="0.2">
      <c r="H379" s="17"/>
      <c r="N379" s="17"/>
      <c r="U379" s="17"/>
      <c r="AA379" s="17"/>
    </row>
    <row r="380" spans="8:27" x14ac:dyDescent="0.2">
      <c r="H380" s="17"/>
      <c r="N380" s="17"/>
      <c r="U380" s="17"/>
      <c r="AA380" s="17"/>
    </row>
    <row r="381" spans="8:27" x14ac:dyDescent="0.2">
      <c r="H381" s="17"/>
      <c r="N381" s="17"/>
      <c r="U381" s="17"/>
      <c r="AA381" s="17"/>
    </row>
    <row r="382" spans="8:27" x14ac:dyDescent="0.2">
      <c r="H382" s="17"/>
      <c r="N382" s="17"/>
      <c r="U382" s="17"/>
      <c r="AA382" s="17"/>
    </row>
    <row r="383" spans="8:27" x14ac:dyDescent="0.2">
      <c r="H383" s="17"/>
      <c r="N383" s="17"/>
      <c r="U383" s="17"/>
      <c r="AA383" s="17"/>
    </row>
    <row r="384" spans="8:27" x14ac:dyDescent="0.2">
      <c r="H384" s="17"/>
      <c r="N384" s="17"/>
      <c r="U384" s="17"/>
      <c r="AA384" s="17"/>
    </row>
    <row r="385" spans="8:27" x14ac:dyDescent="0.2">
      <c r="H385" s="17"/>
      <c r="N385" s="17"/>
      <c r="U385" s="17"/>
      <c r="AA385" s="17"/>
    </row>
    <row r="386" spans="8:27" x14ac:dyDescent="0.2">
      <c r="H386" s="17"/>
      <c r="N386" s="17"/>
      <c r="U386" s="17"/>
      <c r="AA386" s="17"/>
    </row>
    <row r="387" spans="8:27" x14ac:dyDescent="0.2">
      <c r="H387" s="17"/>
      <c r="N387" s="17"/>
      <c r="U387" s="17"/>
      <c r="AA387" s="17"/>
    </row>
    <row r="388" spans="8:27" x14ac:dyDescent="0.2">
      <c r="H388" s="17"/>
      <c r="N388" s="17"/>
      <c r="U388" s="17"/>
      <c r="AA388" s="17"/>
    </row>
    <row r="389" spans="8:27" x14ac:dyDescent="0.2">
      <c r="H389" s="17"/>
      <c r="N389" s="17"/>
      <c r="U389" s="17"/>
      <c r="AA389" s="17"/>
    </row>
    <row r="390" spans="8:27" x14ac:dyDescent="0.2">
      <c r="H390" s="17"/>
      <c r="N390" s="17"/>
      <c r="U390" s="17"/>
      <c r="AA390" s="17"/>
    </row>
    <row r="391" spans="8:27" x14ac:dyDescent="0.2">
      <c r="H391" s="17"/>
      <c r="N391" s="17"/>
      <c r="U391" s="17"/>
      <c r="AA391" s="17"/>
    </row>
    <row r="392" spans="8:27" x14ac:dyDescent="0.2">
      <c r="H392" s="17"/>
      <c r="N392" s="17"/>
      <c r="U392" s="17"/>
      <c r="AA392" s="17"/>
    </row>
    <row r="393" spans="8:27" x14ac:dyDescent="0.2">
      <c r="H393" s="17"/>
      <c r="N393" s="17"/>
      <c r="U393" s="17"/>
      <c r="AA393" s="17"/>
    </row>
    <row r="394" spans="8:27" x14ac:dyDescent="0.2">
      <c r="H394" s="17"/>
      <c r="N394" s="17"/>
      <c r="U394" s="17"/>
      <c r="AA394" s="17"/>
    </row>
    <row r="395" spans="8:27" x14ac:dyDescent="0.2">
      <c r="H395" s="17"/>
      <c r="N395" s="17"/>
      <c r="U395" s="17"/>
      <c r="AA395" s="17"/>
    </row>
    <row r="396" spans="8:27" x14ac:dyDescent="0.2">
      <c r="H396" s="17"/>
      <c r="N396" s="17"/>
      <c r="U396" s="17"/>
      <c r="AA396" s="17"/>
    </row>
    <row r="397" spans="8:27" x14ac:dyDescent="0.2">
      <c r="H397" s="17"/>
      <c r="N397" s="17"/>
      <c r="U397" s="17"/>
      <c r="AA397" s="17"/>
    </row>
    <row r="398" spans="8:27" x14ac:dyDescent="0.2">
      <c r="H398" s="17"/>
      <c r="N398" s="17"/>
      <c r="U398" s="17"/>
      <c r="AA398" s="17"/>
    </row>
    <row r="399" spans="8:27" x14ac:dyDescent="0.2">
      <c r="H399" s="17"/>
      <c r="N399" s="17"/>
      <c r="U399" s="17"/>
      <c r="AA399" s="17"/>
    </row>
    <row r="400" spans="8:27" x14ac:dyDescent="0.2">
      <c r="H400" s="17"/>
      <c r="N400" s="17"/>
      <c r="U400" s="17"/>
      <c r="AA400" s="17"/>
    </row>
    <row r="401" spans="8:27" x14ac:dyDescent="0.2">
      <c r="H401" s="17"/>
      <c r="N401" s="17"/>
      <c r="U401" s="17"/>
      <c r="AA401" s="17"/>
    </row>
    <row r="402" spans="8:27" x14ac:dyDescent="0.2">
      <c r="H402" s="17"/>
      <c r="N402" s="17"/>
      <c r="U402" s="17"/>
      <c r="AA402" s="17"/>
    </row>
    <row r="403" spans="8:27" x14ac:dyDescent="0.2">
      <c r="H403" s="17"/>
      <c r="N403" s="17"/>
      <c r="U403" s="17"/>
      <c r="AA403" s="17"/>
    </row>
    <row r="404" spans="8:27" x14ac:dyDescent="0.2">
      <c r="H404" s="17"/>
      <c r="N404" s="17"/>
      <c r="U404" s="17"/>
      <c r="AA404" s="17"/>
    </row>
    <row r="405" spans="8:27" x14ac:dyDescent="0.2">
      <c r="H405" s="17"/>
      <c r="N405" s="17"/>
      <c r="U405" s="17"/>
      <c r="AA405" s="17"/>
    </row>
    <row r="406" spans="8:27" x14ac:dyDescent="0.2">
      <c r="H406" s="17"/>
      <c r="N406" s="17"/>
      <c r="U406" s="17"/>
      <c r="AA406" s="17"/>
    </row>
    <row r="407" spans="8:27" x14ac:dyDescent="0.2">
      <c r="H407" s="17"/>
      <c r="N407" s="17"/>
      <c r="U407" s="17"/>
      <c r="AA407" s="17"/>
    </row>
    <row r="408" spans="8:27" x14ac:dyDescent="0.2">
      <c r="H408" s="17"/>
      <c r="N408" s="17"/>
      <c r="U408" s="17"/>
      <c r="AA408" s="17"/>
    </row>
    <row r="409" spans="8:27" x14ac:dyDescent="0.2">
      <c r="H409" s="17"/>
      <c r="N409" s="17"/>
      <c r="U409" s="17"/>
      <c r="AA409" s="17"/>
    </row>
    <row r="410" spans="8:27" x14ac:dyDescent="0.2">
      <c r="H410" s="17"/>
      <c r="N410" s="17"/>
      <c r="U410" s="17"/>
      <c r="AA410" s="17"/>
    </row>
    <row r="411" spans="8:27" x14ac:dyDescent="0.2">
      <c r="H411" s="17"/>
      <c r="N411" s="17"/>
      <c r="U411" s="17"/>
      <c r="AA411" s="17"/>
    </row>
    <row r="412" spans="8:27" x14ac:dyDescent="0.2">
      <c r="H412" s="17"/>
      <c r="N412" s="17"/>
      <c r="U412" s="17"/>
      <c r="AA412" s="17"/>
    </row>
    <row r="413" spans="8:27" x14ac:dyDescent="0.2">
      <c r="H413" s="17"/>
      <c r="N413" s="17"/>
      <c r="U413" s="17"/>
      <c r="AA413" s="17"/>
    </row>
    <row r="414" spans="8:27" x14ac:dyDescent="0.2">
      <c r="H414" s="17"/>
      <c r="N414" s="17"/>
      <c r="U414" s="17"/>
      <c r="AA414" s="17"/>
    </row>
    <row r="415" spans="8:27" x14ac:dyDescent="0.2">
      <c r="H415" s="17"/>
      <c r="N415" s="17"/>
      <c r="U415" s="17"/>
      <c r="AA415" s="17"/>
    </row>
    <row r="416" spans="8:27" x14ac:dyDescent="0.2">
      <c r="H416" s="17"/>
      <c r="N416" s="17"/>
      <c r="U416" s="17"/>
      <c r="AA416" s="17"/>
    </row>
    <row r="417" spans="8:27" x14ac:dyDescent="0.2">
      <c r="H417" s="17"/>
      <c r="N417" s="17"/>
      <c r="U417" s="17"/>
      <c r="AA417" s="17"/>
    </row>
    <row r="418" spans="8:27" x14ac:dyDescent="0.2">
      <c r="H418" s="17"/>
      <c r="N418" s="17"/>
      <c r="U418" s="17"/>
      <c r="AA418" s="17"/>
    </row>
    <row r="419" spans="8:27" x14ac:dyDescent="0.2">
      <c r="H419" s="17"/>
      <c r="N419" s="17"/>
      <c r="U419" s="17"/>
      <c r="AA419" s="17"/>
    </row>
    <row r="420" spans="8:27" x14ac:dyDescent="0.2">
      <c r="H420" s="17"/>
      <c r="N420" s="17"/>
      <c r="U420" s="17"/>
      <c r="AA420" s="17"/>
    </row>
    <row r="421" spans="8:27" x14ac:dyDescent="0.2">
      <c r="H421" s="17"/>
      <c r="N421" s="17"/>
      <c r="U421" s="17"/>
      <c r="AA421" s="17"/>
    </row>
    <row r="422" spans="8:27" x14ac:dyDescent="0.2">
      <c r="H422" s="17"/>
      <c r="N422" s="17"/>
      <c r="U422" s="17"/>
      <c r="AA422" s="17"/>
    </row>
    <row r="423" spans="8:27" x14ac:dyDescent="0.2">
      <c r="H423" s="17"/>
      <c r="N423" s="17"/>
      <c r="U423" s="17"/>
      <c r="AA423" s="17"/>
    </row>
    <row r="424" spans="8:27" x14ac:dyDescent="0.2">
      <c r="H424" s="17"/>
      <c r="N424" s="17"/>
      <c r="U424" s="17"/>
      <c r="AA424" s="17"/>
    </row>
    <row r="425" spans="8:27" x14ac:dyDescent="0.2">
      <c r="H425" s="17"/>
      <c r="N425" s="17"/>
      <c r="U425" s="17"/>
      <c r="AA425" s="17"/>
    </row>
    <row r="426" spans="8:27" x14ac:dyDescent="0.2">
      <c r="H426" s="17"/>
      <c r="N426" s="17"/>
      <c r="U426" s="17"/>
      <c r="AA426" s="17"/>
    </row>
    <row r="427" spans="8:27" x14ac:dyDescent="0.2">
      <c r="H427" s="17"/>
      <c r="N427" s="17"/>
      <c r="U427" s="17"/>
      <c r="AA427" s="17"/>
    </row>
    <row r="428" spans="8:27" x14ac:dyDescent="0.2">
      <c r="H428" s="17"/>
      <c r="N428" s="17"/>
      <c r="U428" s="17"/>
      <c r="AA428" s="17"/>
    </row>
    <row r="429" spans="8:27" x14ac:dyDescent="0.2">
      <c r="H429" s="17"/>
      <c r="N429" s="17"/>
      <c r="U429" s="17"/>
      <c r="AA429" s="17"/>
    </row>
    <row r="430" spans="8:27" x14ac:dyDescent="0.2">
      <c r="H430" s="17"/>
      <c r="N430" s="17"/>
      <c r="U430" s="17"/>
      <c r="AA430" s="17"/>
    </row>
    <row r="431" spans="8:27" x14ac:dyDescent="0.2">
      <c r="H431" s="17"/>
      <c r="N431" s="17"/>
      <c r="U431" s="17"/>
      <c r="AA431" s="17"/>
    </row>
    <row r="432" spans="8:27" x14ac:dyDescent="0.2">
      <c r="H432" s="17"/>
      <c r="N432" s="17"/>
      <c r="U432" s="17"/>
      <c r="AA432" s="17"/>
    </row>
    <row r="433" spans="8:27" x14ac:dyDescent="0.2">
      <c r="H433" s="17"/>
      <c r="N433" s="17"/>
      <c r="U433" s="17"/>
      <c r="AA433" s="17"/>
    </row>
    <row r="434" spans="8:27" x14ac:dyDescent="0.2">
      <c r="H434" s="17"/>
      <c r="N434" s="17"/>
      <c r="U434" s="17"/>
      <c r="AA434" s="17"/>
    </row>
    <row r="435" spans="8:27" x14ac:dyDescent="0.2">
      <c r="H435" s="17"/>
      <c r="N435" s="17"/>
      <c r="U435" s="17"/>
      <c r="AA435" s="17"/>
    </row>
    <row r="436" spans="8:27" x14ac:dyDescent="0.2">
      <c r="H436" s="17"/>
      <c r="N436" s="17"/>
      <c r="U436" s="17"/>
      <c r="AA436" s="17"/>
    </row>
    <row r="437" spans="8:27" x14ac:dyDescent="0.2">
      <c r="H437" s="17"/>
      <c r="N437" s="17"/>
      <c r="U437" s="17"/>
      <c r="AA437" s="17"/>
    </row>
    <row r="438" spans="8:27" x14ac:dyDescent="0.2">
      <c r="H438" s="17"/>
      <c r="N438" s="17"/>
      <c r="U438" s="17"/>
      <c r="AA438" s="17"/>
    </row>
    <row r="439" spans="8:27" x14ac:dyDescent="0.2">
      <c r="H439" s="17"/>
      <c r="N439" s="17"/>
      <c r="U439" s="17"/>
      <c r="AA439" s="17"/>
    </row>
    <row r="440" spans="8:27" x14ac:dyDescent="0.2">
      <c r="H440" s="17"/>
      <c r="N440" s="17"/>
      <c r="U440" s="17"/>
      <c r="AA440" s="17"/>
    </row>
    <row r="441" spans="8:27" x14ac:dyDescent="0.2">
      <c r="H441" s="17"/>
      <c r="N441" s="17"/>
      <c r="U441" s="17"/>
      <c r="AA441" s="17"/>
    </row>
    <row r="442" spans="8:27" x14ac:dyDescent="0.2">
      <c r="H442" s="17"/>
      <c r="N442" s="17"/>
      <c r="U442" s="17"/>
      <c r="AA442" s="17"/>
    </row>
    <row r="443" spans="8:27" x14ac:dyDescent="0.2">
      <c r="H443" s="17"/>
      <c r="N443" s="17"/>
      <c r="U443" s="17"/>
      <c r="AA443" s="17"/>
    </row>
    <row r="444" spans="8:27" x14ac:dyDescent="0.2">
      <c r="H444" s="17"/>
      <c r="N444" s="17"/>
      <c r="U444" s="17"/>
      <c r="AA444" s="17"/>
    </row>
    <row r="445" spans="8:27" x14ac:dyDescent="0.2">
      <c r="H445" s="17"/>
      <c r="N445" s="17"/>
      <c r="U445" s="17"/>
      <c r="AA445" s="17"/>
    </row>
    <row r="446" spans="8:27" x14ac:dyDescent="0.2">
      <c r="H446" s="17"/>
      <c r="N446" s="17"/>
      <c r="U446" s="17"/>
      <c r="AA446" s="17"/>
    </row>
    <row r="447" spans="8:27" x14ac:dyDescent="0.2">
      <c r="H447" s="17"/>
      <c r="N447" s="17"/>
      <c r="U447" s="17"/>
      <c r="AA447" s="17"/>
    </row>
    <row r="448" spans="8:27" x14ac:dyDescent="0.2">
      <c r="H448" s="17"/>
      <c r="N448" s="17"/>
      <c r="U448" s="17"/>
      <c r="AA448" s="17"/>
    </row>
    <row r="449" spans="8:27" x14ac:dyDescent="0.2">
      <c r="H449" s="17"/>
      <c r="N449" s="17"/>
      <c r="U449" s="17"/>
      <c r="AA449" s="17"/>
    </row>
    <row r="450" spans="8:27" x14ac:dyDescent="0.2">
      <c r="H450" s="17"/>
      <c r="N450" s="17"/>
      <c r="U450" s="17"/>
      <c r="AA450" s="17"/>
    </row>
    <row r="451" spans="8:27" x14ac:dyDescent="0.2">
      <c r="H451" s="17"/>
      <c r="N451" s="17"/>
      <c r="U451" s="17"/>
      <c r="AA451" s="17"/>
    </row>
    <row r="452" spans="8:27" x14ac:dyDescent="0.2">
      <c r="H452" s="17"/>
      <c r="N452" s="17"/>
      <c r="U452" s="17"/>
      <c r="AA452" s="17"/>
    </row>
    <row r="453" spans="8:27" x14ac:dyDescent="0.2">
      <c r="H453" s="17"/>
      <c r="N453" s="17"/>
      <c r="U453" s="17"/>
      <c r="AA453" s="17"/>
    </row>
    <row r="454" spans="8:27" x14ac:dyDescent="0.2">
      <c r="H454" s="17"/>
      <c r="N454" s="17"/>
      <c r="U454" s="17"/>
      <c r="AA454" s="17"/>
    </row>
    <row r="455" spans="8:27" x14ac:dyDescent="0.2">
      <c r="H455" s="17"/>
      <c r="N455" s="17"/>
      <c r="U455" s="17"/>
      <c r="AA455" s="17"/>
    </row>
    <row r="456" spans="8:27" x14ac:dyDescent="0.2">
      <c r="H456" s="17"/>
      <c r="N456" s="17"/>
      <c r="U456" s="17"/>
      <c r="AA456" s="17"/>
    </row>
    <row r="457" spans="8:27" x14ac:dyDescent="0.2">
      <c r="H457" s="17"/>
      <c r="N457" s="17"/>
      <c r="U457" s="17"/>
      <c r="AA457" s="17"/>
    </row>
    <row r="458" spans="8:27" x14ac:dyDescent="0.2">
      <c r="H458" s="17"/>
      <c r="N458" s="17"/>
      <c r="U458" s="17"/>
      <c r="AA458" s="17"/>
    </row>
    <row r="459" spans="8:27" x14ac:dyDescent="0.2">
      <c r="H459" s="17"/>
      <c r="N459" s="17"/>
      <c r="U459" s="17"/>
      <c r="AA459" s="17"/>
    </row>
    <row r="460" spans="8:27" x14ac:dyDescent="0.2">
      <c r="H460" s="17"/>
      <c r="N460" s="17"/>
      <c r="U460" s="17"/>
      <c r="AA460" s="17"/>
    </row>
    <row r="461" spans="8:27" x14ac:dyDescent="0.2">
      <c r="H461" s="17"/>
      <c r="N461" s="17"/>
      <c r="U461" s="17"/>
      <c r="AA461" s="17"/>
    </row>
    <row r="462" spans="8:27" x14ac:dyDescent="0.2">
      <c r="H462" s="17"/>
      <c r="N462" s="17"/>
      <c r="U462" s="17"/>
      <c r="AA462" s="17"/>
    </row>
    <row r="463" spans="8:27" x14ac:dyDescent="0.2">
      <c r="H463" s="17"/>
      <c r="N463" s="17"/>
      <c r="U463" s="17"/>
      <c r="AA463" s="17"/>
    </row>
    <row r="464" spans="8:27" x14ac:dyDescent="0.2">
      <c r="H464" s="17"/>
      <c r="N464" s="17"/>
      <c r="U464" s="17"/>
      <c r="AA464" s="17"/>
    </row>
    <row r="465" spans="8:27" x14ac:dyDescent="0.2">
      <c r="H465" s="17"/>
      <c r="N465" s="17"/>
      <c r="U465" s="17"/>
      <c r="AA465" s="17"/>
    </row>
    <row r="466" spans="8:27" x14ac:dyDescent="0.2">
      <c r="H466" s="17"/>
      <c r="N466" s="17"/>
      <c r="U466" s="17"/>
      <c r="AA466" s="17"/>
    </row>
    <row r="467" spans="8:27" x14ac:dyDescent="0.2">
      <c r="H467" s="17"/>
      <c r="N467" s="17"/>
      <c r="U467" s="17"/>
      <c r="AA467" s="17"/>
    </row>
    <row r="468" spans="8:27" x14ac:dyDescent="0.2">
      <c r="H468" s="17"/>
      <c r="N468" s="17"/>
      <c r="U468" s="17"/>
      <c r="AA468" s="17"/>
    </row>
    <row r="469" spans="8:27" x14ac:dyDescent="0.2">
      <c r="H469" s="17"/>
      <c r="N469" s="17"/>
      <c r="U469" s="17"/>
      <c r="AA469" s="17"/>
    </row>
    <row r="470" spans="8:27" x14ac:dyDescent="0.2">
      <c r="H470" s="17"/>
      <c r="N470" s="17"/>
      <c r="U470" s="17"/>
      <c r="AA470" s="17"/>
    </row>
    <row r="471" spans="8:27" x14ac:dyDescent="0.2">
      <c r="H471" s="17"/>
      <c r="N471" s="17"/>
      <c r="U471" s="17"/>
      <c r="AA471" s="17"/>
    </row>
    <row r="472" spans="8:27" x14ac:dyDescent="0.2">
      <c r="H472" s="17"/>
      <c r="N472" s="17"/>
      <c r="U472" s="17"/>
      <c r="AA472" s="17"/>
    </row>
    <row r="473" spans="8:27" x14ac:dyDescent="0.2">
      <c r="H473" s="17"/>
      <c r="N473" s="17"/>
      <c r="U473" s="17"/>
      <c r="AA473" s="17"/>
    </row>
    <row r="474" spans="8:27" x14ac:dyDescent="0.2">
      <c r="H474" s="17"/>
      <c r="N474" s="17"/>
      <c r="U474" s="17"/>
      <c r="AA474" s="17"/>
    </row>
    <row r="475" spans="8:27" x14ac:dyDescent="0.2">
      <c r="H475" s="17"/>
      <c r="N475" s="17"/>
      <c r="U475" s="17"/>
      <c r="AA475" s="17"/>
    </row>
    <row r="476" spans="8:27" x14ac:dyDescent="0.2">
      <c r="H476" s="17"/>
      <c r="N476" s="17"/>
      <c r="U476" s="17"/>
      <c r="AA476" s="17"/>
    </row>
    <row r="477" spans="8:27" x14ac:dyDescent="0.2">
      <c r="H477" s="17"/>
      <c r="N477" s="17"/>
      <c r="U477" s="17"/>
      <c r="AA477" s="17"/>
    </row>
    <row r="478" spans="8:27" x14ac:dyDescent="0.2">
      <c r="H478" s="17"/>
      <c r="N478" s="17"/>
      <c r="U478" s="17"/>
      <c r="AA478" s="17"/>
    </row>
    <row r="479" spans="8:27" x14ac:dyDescent="0.2">
      <c r="H479" s="17"/>
      <c r="N479" s="17"/>
      <c r="U479" s="17"/>
      <c r="AA479" s="17"/>
    </row>
    <row r="480" spans="8:27" x14ac:dyDescent="0.2">
      <c r="H480" s="17"/>
      <c r="N480" s="17"/>
      <c r="U480" s="17"/>
      <c r="AA480" s="17"/>
    </row>
    <row r="481" spans="8:27" x14ac:dyDescent="0.2">
      <c r="H481" s="17"/>
      <c r="N481" s="17"/>
      <c r="U481" s="17"/>
      <c r="AA481" s="17"/>
    </row>
    <row r="482" spans="8:27" x14ac:dyDescent="0.2">
      <c r="H482" s="17"/>
      <c r="N482" s="17"/>
      <c r="U482" s="17"/>
      <c r="AA482" s="17"/>
    </row>
    <row r="483" spans="8:27" x14ac:dyDescent="0.2">
      <c r="H483" s="17"/>
      <c r="N483" s="17"/>
      <c r="U483" s="17"/>
      <c r="AA483" s="17"/>
    </row>
    <row r="484" spans="8:27" x14ac:dyDescent="0.2">
      <c r="H484" s="17"/>
      <c r="N484" s="17"/>
      <c r="U484" s="17"/>
      <c r="AA484" s="17"/>
    </row>
    <row r="485" spans="8:27" x14ac:dyDescent="0.2">
      <c r="H485" s="17"/>
      <c r="N485" s="17"/>
      <c r="U485" s="17"/>
      <c r="AA485" s="17"/>
    </row>
    <row r="486" spans="8:27" x14ac:dyDescent="0.2">
      <c r="H486" s="17"/>
      <c r="N486" s="17"/>
      <c r="U486" s="17"/>
      <c r="AA486" s="17"/>
    </row>
    <row r="487" spans="8:27" x14ac:dyDescent="0.2">
      <c r="H487" s="17"/>
      <c r="N487" s="17"/>
      <c r="U487" s="17"/>
      <c r="AA487" s="17"/>
    </row>
    <row r="488" spans="8:27" x14ac:dyDescent="0.2">
      <c r="H488" s="17"/>
      <c r="N488" s="17"/>
      <c r="U488" s="17"/>
      <c r="AA488" s="17"/>
    </row>
    <row r="489" spans="8:27" x14ac:dyDescent="0.2">
      <c r="H489" s="17"/>
      <c r="N489" s="17"/>
      <c r="U489" s="17"/>
      <c r="AA489" s="17"/>
    </row>
    <row r="490" spans="8:27" x14ac:dyDescent="0.2">
      <c r="H490" s="17"/>
      <c r="N490" s="17"/>
      <c r="U490" s="17"/>
      <c r="AA490" s="17"/>
    </row>
    <row r="491" spans="8:27" x14ac:dyDescent="0.2">
      <c r="H491" s="17"/>
      <c r="N491" s="17"/>
      <c r="U491" s="17"/>
      <c r="AA491" s="17"/>
    </row>
    <row r="492" spans="8:27" x14ac:dyDescent="0.2">
      <c r="H492" s="17"/>
      <c r="N492" s="17"/>
      <c r="U492" s="17"/>
      <c r="AA492" s="17"/>
    </row>
    <row r="493" spans="8:27" x14ac:dyDescent="0.2">
      <c r="H493" s="17"/>
      <c r="N493" s="17"/>
      <c r="U493" s="17"/>
      <c r="AA493" s="17"/>
    </row>
    <row r="494" spans="8:27" x14ac:dyDescent="0.2">
      <c r="H494" s="17"/>
      <c r="N494" s="17"/>
      <c r="U494" s="17"/>
      <c r="AA494" s="17"/>
    </row>
    <row r="495" spans="8:27" x14ac:dyDescent="0.2">
      <c r="H495" s="17"/>
      <c r="N495" s="17"/>
      <c r="U495" s="17"/>
      <c r="AA495" s="17"/>
    </row>
    <row r="496" spans="8:27" x14ac:dyDescent="0.2">
      <c r="H496" s="17"/>
      <c r="N496" s="17"/>
      <c r="U496" s="17"/>
      <c r="AA496" s="17"/>
    </row>
    <row r="497" spans="8:27" x14ac:dyDescent="0.2">
      <c r="H497" s="17"/>
      <c r="N497" s="17"/>
      <c r="U497" s="17"/>
      <c r="AA497" s="17"/>
    </row>
    <row r="498" spans="8:27" x14ac:dyDescent="0.2">
      <c r="H498" s="17"/>
      <c r="N498" s="17"/>
      <c r="U498" s="17"/>
      <c r="AA498" s="17"/>
    </row>
    <row r="499" spans="8:27" x14ac:dyDescent="0.2">
      <c r="H499" s="17"/>
      <c r="N499" s="17"/>
      <c r="U499" s="17"/>
      <c r="AA499" s="17"/>
    </row>
    <row r="500" spans="8:27" x14ac:dyDescent="0.2">
      <c r="H500" s="17"/>
      <c r="N500" s="17"/>
      <c r="U500" s="17"/>
      <c r="AA500" s="17"/>
    </row>
    <row r="501" spans="8:27" x14ac:dyDescent="0.2">
      <c r="H501" s="17"/>
      <c r="N501" s="17"/>
      <c r="U501" s="17"/>
      <c r="AA501" s="17"/>
    </row>
    <row r="502" spans="8:27" x14ac:dyDescent="0.2">
      <c r="H502" s="17"/>
      <c r="N502" s="17"/>
      <c r="U502" s="17"/>
      <c r="AA502" s="17"/>
    </row>
    <row r="503" spans="8:27" x14ac:dyDescent="0.2">
      <c r="H503" s="17"/>
      <c r="N503" s="17"/>
      <c r="U503" s="17"/>
      <c r="AA503" s="17"/>
    </row>
    <row r="504" spans="8:27" x14ac:dyDescent="0.2">
      <c r="H504" s="17"/>
      <c r="N504" s="17"/>
      <c r="U504" s="17"/>
      <c r="AA504" s="17"/>
    </row>
    <row r="505" spans="8:27" x14ac:dyDescent="0.2">
      <c r="H505" s="17"/>
      <c r="N505" s="17"/>
      <c r="U505" s="17"/>
      <c r="AA505" s="17"/>
    </row>
    <row r="506" spans="8:27" x14ac:dyDescent="0.2">
      <c r="H506" s="17"/>
      <c r="N506" s="17"/>
      <c r="U506" s="17"/>
      <c r="AA506" s="17"/>
    </row>
    <row r="507" spans="8:27" x14ac:dyDescent="0.2">
      <c r="H507" s="17"/>
      <c r="N507" s="17"/>
      <c r="U507" s="17"/>
      <c r="AA507" s="17"/>
    </row>
    <row r="508" spans="8:27" x14ac:dyDescent="0.2">
      <c r="H508" s="17"/>
      <c r="N508" s="17"/>
      <c r="U508" s="17"/>
      <c r="AA508" s="17"/>
    </row>
    <row r="509" spans="8:27" x14ac:dyDescent="0.2">
      <c r="H509" s="17"/>
      <c r="N509" s="17"/>
      <c r="U509" s="17"/>
      <c r="AA509" s="17"/>
    </row>
    <row r="510" spans="8:27" x14ac:dyDescent="0.2">
      <c r="H510" s="17"/>
      <c r="N510" s="17"/>
      <c r="U510" s="17"/>
      <c r="AA510" s="17"/>
    </row>
    <row r="511" spans="8:27" x14ac:dyDescent="0.2">
      <c r="H511" s="17"/>
      <c r="N511" s="17"/>
      <c r="U511" s="17"/>
      <c r="AA511" s="17"/>
    </row>
    <row r="512" spans="8:27" x14ac:dyDescent="0.2">
      <c r="H512" s="17"/>
      <c r="N512" s="17"/>
      <c r="U512" s="17"/>
      <c r="AA512" s="17"/>
    </row>
    <row r="513" spans="8:27" x14ac:dyDescent="0.2">
      <c r="H513" s="17"/>
      <c r="N513" s="17"/>
      <c r="U513" s="17"/>
      <c r="AA513" s="17"/>
    </row>
  </sheetData>
  <sheetProtection algorithmName="SHA-512" hashValue="K1ySxBMIUMakaUjoO1jxPSbyLRUoxBIFEDvWqSB/9jPuQpJnItmuPUQUoPI1SuwPf+q2oTh13qRDLaX5/MKfQw==" saltValue="xmaNWgdvGhpO1w0cxxFUZw==" spinCount="100000" sheet="1" objects="1" scenarios="1"/>
  <mergeCells count="8">
    <mergeCell ref="Q147:S158"/>
    <mergeCell ref="F1:AA1"/>
    <mergeCell ref="D19:H19"/>
    <mergeCell ref="J19:N19"/>
    <mergeCell ref="D2:N2"/>
    <mergeCell ref="Q2:AA2"/>
    <mergeCell ref="Q19:U19"/>
    <mergeCell ref="W19:AA19"/>
  </mergeCells>
  <dataValidations count="2">
    <dataValidation type="list" allowBlank="1" showInputMessage="1" showErrorMessage="1" sqref="D120 Q120" xr:uid="{5D1F4CFB-A0F1-4C10-A126-1A3D363EF4E9}">
      <formula1>kW</formula1>
    </dataValidation>
    <dataValidation type="list" allowBlank="1" showInputMessage="1" showErrorMessage="1" sqref="D210 D212 D214" xr:uid="{D4035B6C-C01E-4692-9D08-0B2ED8BAFB5D}">
      <formula1>Budgetposter</formula1>
    </dataValidation>
  </dataValidations>
  <pageMargins left="0.7" right="0.7" top="0.75" bottom="0.75" header="0.3" footer="0.3"/>
  <pageSetup paperSize="9" orientation="portrait" horizontalDpi="3600" verticalDpi="36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05A1D-2230-4A71-8DED-DB79E70FCC4F}">
  <sheetPr codeName="Ark4"/>
  <dimension ref="A1:P39"/>
  <sheetViews>
    <sheetView workbookViewId="0">
      <selection activeCell="I13" sqref="I13"/>
    </sheetView>
  </sheetViews>
  <sheetFormatPr defaultRowHeight="14.25" x14ac:dyDescent="0.2"/>
  <cols>
    <col min="1" max="1" width="9.5" bestFit="1" customWidth="1"/>
    <col min="2" max="2" width="12.625" bestFit="1" customWidth="1"/>
    <col min="3" max="4" width="9.5" bestFit="1" customWidth="1"/>
    <col min="5" max="5" width="10" customWidth="1"/>
    <col min="6" max="6" width="11.5" bestFit="1" customWidth="1"/>
    <col min="7" max="7" width="9.625" customWidth="1"/>
    <col min="8" max="8" width="10.625" customWidth="1"/>
    <col min="9" max="9" width="10.5" customWidth="1"/>
    <col min="10" max="10" width="10.125" bestFit="1" customWidth="1"/>
  </cols>
  <sheetData>
    <row r="1" spans="1:16" x14ac:dyDescent="0.2">
      <c r="A1" s="98" t="s">
        <v>100</v>
      </c>
      <c r="B1" s="98" t="s">
        <v>132</v>
      </c>
      <c r="C1" s="97" t="s">
        <v>128</v>
      </c>
      <c r="D1" s="97"/>
      <c r="F1" t="s">
        <v>146</v>
      </c>
      <c r="G1" t="s">
        <v>176</v>
      </c>
    </row>
    <row r="2" spans="1:16" x14ac:dyDescent="0.2">
      <c r="A2" s="98"/>
      <c r="B2" s="98"/>
      <c r="C2" s="56" t="s">
        <v>129</v>
      </c>
      <c r="D2" s="56" t="s">
        <v>130</v>
      </c>
    </row>
    <row r="3" spans="1:16" x14ac:dyDescent="0.2">
      <c r="A3" s="56" t="s">
        <v>133</v>
      </c>
      <c r="B3" s="56" t="s">
        <v>134</v>
      </c>
      <c r="C3" s="56" t="s">
        <v>134</v>
      </c>
      <c r="D3" s="56" t="s">
        <v>134</v>
      </c>
    </row>
    <row r="4" spans="1:16" x14ac:dyDescent="0.2">
      <c r="A4" s="55">
        <v>50</v>
      </c>
      <c r="B4" s="57">
        <v>165000</v>
      </c>
      <c r="C4" s="57">
        <v>500000</v>
      </c>
      <c r="D4" s="57">
        <v>100000</v>
      </c>
      <c r="M4" s="58"/>
      <c r="N4" s="58"/>
      <c r="O4" s="58"/>
      <c r="P4" s="58"/>
    </row>
    <row r="5" spans="1:16" x14ac:dyDescent="0.2">
      <c r="A5" s="55">
        <v>75</v>
      </c>
      <c r="B5" s="57">
        <v>200000</v>
      </c>
      <c r="C5" s="57">
        <v>500000</v>
      </c>
      <c r="D5" s="57">
        <v>100000</v>
      </c>
      <c r="M5" s="58"/>
      <c r="N5" s="58"/>
      <c r="O5" s="58"/>
      <c r="P5" s="58"/>
    </row>
    <row r="6" spans="1:16" x14ac:dyDescent="0.2">
      <c r="A6" s="55" t="s">
        <v>131</v>
      </c>
      <c r="B6" s="57">
        <v>250000</v>
      </c>
      <c r="C6" s="57">
        <v>700000</v>
      </c>
      <c r="D6" s="57">
        <v>225000</v>
      </c>
      <c r="M6" s="58"/>
      <c r="N6" s="58"/>
      <c r="O6" s="58"/>
      <c r="P6" s="58"/>
    </row>
    <row r="7" spans="1:16" x14ac:dyDescent="0.2">
      <c r="A7" s="55" t="s">
        <v>123</v>
      </c>
      <c r="B7" s="57">
        <v>325000</v>
      </c>
      <c r="C7" s="57">
        <v>800000</v>
      </c>
      <c r="D7" s="57">
        <v>225000</v>
      </c>
      <c r="M7" s="58"/>
      <c r="N7" s="58"/>
      <c r="O7" s="58"/>
      <c r="P7" s="58"/>
    </row>
    <row r="8" spans="1:16" x14ac:dyDescent="0.2">
      <c r="A8" s="55" t="s">
        <v>124</v>
      </c>
      <c r="B8" s="57">
        <v>425000</v>
      </c>
      <c r="C8" s="57">
        <v>850000</v>
      </c>
      <c r="D8" s="57">
        <v>225000</v>
      </c>
      <c r="M8" s="58"/>
      <c r="N8" s="58"/>
      <c r="O8" s="58"/>
      <c r="P8" s="58"/>
    </row>
    <row r="9" spans="1:16" x14ac:dyDescent="0.2">
      <c r="A9" s="55" t="s">
        <v>126</v>
      </c>
      <c r="B9" s="57">
        <v>450000</v>
      </c>
      <c r="C9" s="57">
        <v>850000</v>
      </c>
      <c r="D9" s="57">
        <v>250000</v>
      </c>
      <c r="M9" s="58"/>
      <c r="N9" s="58"/>
      <c r="O9" s="58"/>
      <c r="P9" s="58"/>
    </row>
    <row r="10" spans="1:16" x14ac:dyDescent="0.2">
      <c r="A10" s="55" t="s">
        <v>127</v>
      </c>
      <c r="B10" s="57">
        <v>500000</v>
      </c>
      <c r="C10" s="57">
        <v>850000</v>
      </c>
      <c r="D10" s="57">
        <v>250000</v>
      </c>
      <c r="M10" s="58"/>
      <c r="N10" s="58"/>
      <c r="O10" s="58"/>
      <c r="P10" s="58"/>
    </row>
    <row r="12" spans="1:16" x14ac:dyDescent="0.2">
      <c r="A12" s="55" t="s">
        <v>171</v>
      </c>
      <c r="B12" s="55">
        <v>25</v>
      </c>
      <c r="C12" s="57">
        <f>17950</f>
        <v>17950</v>
      </c>
    </row>
    <row r="13" spans="1:16" ht="16.5" customHeight="1" x14ac:dyDescent="0.2">
      <c r="A13" s="97" t="s">
        <v>125</v>
      </c>
      <c r="B13" s="97"/>
      <c r="C13" s="97"/>
      <c r="D13" s="97"/>
      <c r="E13" s="97"/>
      <c r="F13" s="97"/>
      <c r="G13" s="97"/>
    </row>
    <row r="14" spans="1:16" x14ac:dyDescent="0.2">
      <c r="A14" s="97" t="s">
        <v>23</v>
      </c>
      <c r="B14" s="97"/>
      <c r="C14" s="97"/>
      <c r="D14" s="97"/>
      <c r="E14" s="97"/>
      <c r="F14" s="97"/>
      <c r="G14" s="97"/>
    </row>
    <row r="15" spans="1:16" x14ac:dyDescent="0.2">
      <c r="A15" s="56">
        <v>1000</v>
      </c>
      <c r="B15" s="56">
        <v>5</v>
      </c>
      <c r="C15" s="56">
        <v>4</v>
      </c>
      <c r="D15" s="56">
        <v>3</v>
      </c>
      <c r="E15" s="56">
        <v>2</v>
      </c>
      <c r="F15" s="59">
        <v>1</v>
      </c>
      <c r="G15" s="56"/>
      <c r="H15" s="56"/>
    </row>
    <row r="16" spans="1:16" x14ac:dyDescent="0.2">
      <c r="A16" s="57">
        <f>ROUNDUP(G16*'TCO-model, flextrafik'!H$118/1000,1)*1000</f>
        <v>0</v>
      </c>
      <c r="B16" s="57">
        <v>400</v>
      </c>
      <c r="C16" s="57">
        <v>315</v>
      </c>
      <c r="D16" s="57">
        <v>250</v>
      </c>
      <c r="E16" s="57">
        <v>175</v>
      </c>
      <c r="F16" s="57">
        <v>100</v>
      </c>
      <c r="G16" s="57">
        <f>50/0.65</f>
        <v>76.92307692307692</v>
      </c>
    </row>
    <row r="17" spans="1:7" x14ac:dyDescent="0.2">
      <c r="A17" s="57">
        <f>ROUNDUP(G17*'TCO-model, flextrafik'!H$118/1000,1)*1000</f>
        <v>0</v>
      </c>
      <c r="B17" s="57">
        <v>600</v>
      </c>
      <c r="C17" s="57">
        <v>470</v>
      </c>
      <c r="D17" s="57">
        <v>355</v>
      </c>
      <c r="E17" s="57">
        <v>240</v>
      </c>
      <c r="F17" s="57">
        <v>125</v>
      </c>
      <c r="G17" s="57">
        <f>75/0.65</f>
        <v>115.38461538461539</v>
      </c>
    </row>
    <row r="18" spans="1:7" x14ac:dyDescent="0.2">
      <c r="A18" s="57">
        <f>ROUNDUP(G18*'TCO-model, flextrafik'!H$118/1000,1)*1000</f>
        <v>0</v>
      </c>
      <c r="B18" s="57">
        <v>800</v>
      </c>
      <c r="C18" s="57">
        <v>660</v>
      </c>
      <c r="D18" s="57">
        <v>470</v>
      </c>
      <c r="E18" s="57">
        <v>330</v>
      </c>
      <c r="F18" s="57">
        <v>175</v>
      </c>
      <c r="G18" s="57">
        <f>100/0.65</f>
        <v>153.84615384615384</v>
      </c>
    </row>
    <row r="19" spans="1:7" x14ac:dyDescent="0.2">
      <c r="A19" s="57">
        <f>ROUNDUP(G19*'TCO-model, flextrafik'!H$118/1000,1)*1000</f>
        <v>0</v>
      </c>
      <c r="B19" s="57">
        <v>1200</v>
      </c>
      <c r="C19" s="57">
        <v>970</v>
      </c>
      <c r="D19" s="57">
        <v>730</v>
      </c>
      <c r="E19" s="57">
        <v>490</v>
      </c>
      <c r="F19" s="57">
        <v>250</v>
      </c>
      <c r="G19" s="57">
        <f>150/0.65</f>
        <v>230.76923076923077</v>
      </c>
    </row>
    <row r="20" spans="1:7" x14ac:dyDescent="0.2">
      <c r="A20" s="57">
        <f>ROUNDUP(G20*'TCO-model, flextrafik'!H$118/1000,1)*1000</f>
        <v>0</v>
      </c>
      <c r="B20" s="57">
        <v>1900</v>
      </c>
      <c r="C20" s="57">
        <v>1490</v>
      </c>
      <c r="D20" s="57">
        <v>1200</v>
      </c>
      <c r="E20" s="57">
        <v>790</v>
      </c>
      <c r="F20" s="57">
        <v>400</v>
      </c>
      <c r="G20" s="57">
        <f>240/0.65</f>
        <v>369.23076923076923</v>
      </c>
    </row>
    <row r="21" spans="1:7" x14ac:dyDescent="0.2">
      <c r="A21" s="57">
        <f>ROUNDUP(G21*'TCO-model, flextrafik'!H$118/1000,1)*1000</f>
        <v>0</v>
      </c>
      <c r="B21" s="57">
        <v>2350</v>
      </c>
      <c r="C21" s="57">
        <v>1870</v>
      </c>
      <c r="D21" s="57">
        <v>1410</v>
      </c>
      <c r="E21" s="57">
        <f>2*F21</f>
        <v>940</v>
      </c>
      <c r="F21" s="57">
        <v>470</v>
      </c>
      <c r="G21" s="57">
        <f>300/0.65</f>
        <v>461.53846153846155</v>
      </c>
    </row>
    <row r="22" spans="1:7" x14ac:dyDescent="0.2">
      <c r="A22" s="57">
        <f>ROUNDUP(G22*'TCO-model, flextrafik'!H$118/1000,1)*1000</f>
        <v>0</v>
      </c>
      <c r="B22" s="57">
        <v>2800</v>
      </c>
      <c r="C22" s="57">
        <v>2250</v>
      </c>
      <c r="D22" s="57">
        <v>1700</v>
      </c>
      <c r="E22" s="57">
        <f>2*F22</f>
        <v>1100</v>
      </c>
      <c r="F22" s="57">
        <v>550</v>
      </c>
      <c r="G22" s="57">
        <f>350/0.65</f>
        <v>538.46153846153845</v>
      </c>
    </row>
    <row r="24" spans="1:7" x14ac:dyDescent="0.2">
      <c r="A24" s="97" t="s">
        <v>125</v>
      </c>
      <c r="B24" s="97"/>
      <c r="C24" s="97"/>
      <c r="D24" s="97"/>
      <c r="E24" s="97"/>
      <c r="F24" s="97"/>
      <c r="G24" s="97"/>
    </row>
    <row r="25" spans="1:7" x14ac:dyDescent="0.2">
      <c r="A25" s="97" t="s">
        <v>23</v>
      </c>
      <c r="B25" s="97"/>
      <c r="C25" s="97"/>
      <c r="D25" s="97"/>
      <c r="E25" s="97"/>
      <c r="F25" s="97"/>
      <c r="G25" s="97"/>
    </row>
    <row r="26" spans="1:7" x14ac:dyDescent="0.2">
      <c r="A26" s="56">
        <v>1000</v>
      </c>
      <c r="B26" s="56">
        <v>5</v>
      </c>
      <c r="C26" s="56">
        <v>4</v>
      </c>
      <c r="D26" s="56">
        <v>3</v>
      </c>
      <c r="E26" s="56">
        <v>2</v>
      </c>
      <c r="F26" s="59">
        <v>1</v>
      </c>
      <c r="G26" s="56"/>
    </row>
    <row r="27" spans="1:7" x14ac:dyDescent="0.2">
      <c r="A27" s="57">
        <f>ROUNDUP(G27*'TCO-model, flextrafik'!U$118/1000,1)*1000</f>
        <v>0</v>
      </c>
      <c r="B27" s="57">
        <v>400</v>
      </c>
      <c r="C27" s="57">
        <v>315</v>
      </c>
      <c r="D27" s="57">
        <v>250</v>
      </c>
      <c r="E27" s="57">
        <v>175</v>
      </c>
      <c r="F27" s="57">
        <v>100</v>
      </c>
      <c r="G27" s="57">
        <f>50/0.65</f>
        <v>76.92307692307692</v>
      </c>
    </row>
    <row r="28" spans="1:7" x14ac:dyDescent="0.2">
      <c r="A28" s="57">
        <f>ROUNDUP(G28*'TCO-model, flextrafik'!U$118/1000,1)*1000</f>
        <v>0</v>
      </c>
      <c r="B28" s="57">
        <v>600</v>
      </c>
      <c r="C28" s="57">
        <v>470</v>
      </c>
      <c r="D28" s="57">
        <v>355</v>
      </c>
      <c r="E28" s="57">
        <v>240</v>
      </c>
      <c r="F28" s="57">
        <v>125</v>
      </c>
      <c r="G28" s="57">
        <f>75/0.65</f>
        <v>115.38461538461539</v>
      </c>
    </row>
    <row r="29" spans="1:7" x14ac:dyDescent="0.2">
      <c r="A29" s="57">
        <f>ROUNDUP(G29*'TCO-model, flextrafik'!U$118/1000,1)*1000</f>
        <v>0</v>
      </c>
      <c r="B29" s="57">
        <v>800</v>
      </c>
      <c r="C29" s="57">
        <v>660</v>
      </c>
      <c r="D29" s="57">
        <v>470</v>
      </c>
      <c r="E29" s="57">
        <v>330</v>
      </c>
      <c r="F29" s="57">
        <v>175</v>
      </c>
      <c r="G29" s="57">
        <f>100/0.65</f>
        <v>153.84615384615384</v>
      </c>
    </row>
    <row r="30" spans="1:7" x14ac:dyDescent="0.2">
      <c r="A30" s="57">
        <f>ROUNDUP(G30*'TCO-model, flextrafik'!U$118/1000,1)*1000</f>
        <v>0</v>
      </c>
      <c r="B30" s="57">
        <v>1200</v>
      </c>
      <c r="C30" s="57">
        <v>970</v>
      </c>
      <c r="D30" s="57">
        <v>730</v>
      </c>
      <c r="E30" s="57">
        <v>490</v>
      </c>
      <c r="F30" s="57">
        <v>250</v>
      </c>
      <c r="G30" s="57">
        <f>150/0.65</f>
        <v>230.76923076923077</v>
      </c>
    </row>
    <row r="31" spans="1:7" x14ac:dyDescent="0.2">
      <c r="A31" s="57">
        <f>ROUNDUP(G31*'TCO-model, flextrafik'!U$118/1000,1)*1000</f>
        <v>0</v>
      </c>
      <c r="B31" s="57">
        <v>1900</v>
      </c>
      <c r="C31" s="57">
        <v>1490</v>
      </c>
      <c r="D31" s="57">
        <v>1200</v>
      </c>
      <c r="E31" s="57">
        <v>790</v>
      </c>
      <c r="F31" s="57">
        <v>400</v>
      </c>
      <c r="G31" s="57">
        <f>240/0.65</f>
        <v>369.23076923076923</v>
      </c>
    </row>
    <row r="32" spans="1:7" x14ac:dyDescent="0.2">
      <c r="A32" s="57">
        <f>ROUNDUP(G32*'TCO-model, flextrafik'!U$118/1000,1)*1000</f>
        <v>0</v>
      </c>
      <c r="B32" s="57">
        <v>2350</v>
      </c>
      <c r="C32" s="57">
        <v>1870</v>
      </c>
      <c r="D32" s="57">
        <v>1410</v>
      </c>
      <c r="E32" s="57">
        <f>2*F32</f>
        <v>940</v>
      </c>
      <c r="F32" s="57">
        <v>470</v>
      </c>
      <c r="G32" s="57">
        <f>300/0.65</f>
        <v>461.53846153846155</v>
      </c>
    </row>
    <row r="33" spans="1:7" x14ac:dyDescent="0.2">
      <c r="A33" s="57">
        <f>ROUNDUP(G33*'TCO-model, flextrafik'!U$118/1000,1)*1000</f>
        <v>0</v>
      </c>
      <c r="B33" s="57">
        <v>2800</v>
      </c>
      <c r="C33" s="57">
        <v>2250</v>
      </c>
      <c r="D33" s="57">
        <v>1700</v>
      </c>
      <c r="E33" s="57">
        <f>2*F33</f>
        <v>1100</v>
      </c>
      <c r="F33" s="57">
        <v>550</v>
      </c>
      <c r="G33" s="57">
        <f>350/0.65</f>
        <v>538.46153846153845</v>
      </c>
    </row>
    <row r="35" spans="1:7" x14ac:dyDescent="0.2">
      <c r="B35" s="58"/>
      <c r="C35" s="58"/>
      <c r="D35" s="58"/>
      <c r="E35" s="58"/>
    </row>
    <row r="36" spans="1:7" x14ac:dyDescent="0.2">
      <c r="B36" s="58"/>
      <c r="C36" s="58"/>
      <c r="D36" s="58"/>
      <c r="E36" s="58"/>
    </row>
    <row r="37" spans="1:7" x14ac:dyDescent="0.2">
      <c r="B37" s="58"/>
      <c r="C37" s="58"/>
      <c r="D37" s="58"/>
      <c r="E37" s="58"/>
    </row>
    <row r="38" spans="1:7" x14ac:dyDescent="0.2">
      <c r="B38" s="58"/>
      <c r="C38" s="58"/>
      <c r="D38" s="58"/>
      <c r="E38" s="58"/>
    </row>
    <row r="39" spans="1:7" x14ac:dyDescent="0.2">
      <c r="B39" s="58"/>
      <c r="C39" s="58"/>
      <c r="D39" s="58"/>
      <c r="E39" s="58"/>
    </row>
  </sheetData>
  <mergeCells count="7">
    <mergeCell ref="A13:G13"/>
    <mergeCell ref="A24:G24"/>
    <mergeCell ref="A25:G25"/>
    <mergeCell ref="A1:A2"/>
    <mergeCell ref="B1:B2"/>
    <mergeCell ref="C1:D1"/>
    <mergeCell ref="A14:G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SMoveSetID xmlns="75b74486-4fc0-4fcf-8dea-8ddef45d8fa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0C5A0B901E2540A766CF79EE8D89C0" ma:contentTypeVersion="1" ma:contentTypeDescription="Create a new document." ma:contentTypeScope="" ma:versionID="2226ca09557cf3660f60e2f4b06dd720">
  <xsd:schema xmlns:xsd="http://www.w3.org/2001/XMLSchema" xmlns:xs="http://www.w3.org/2001/XMLSchema" xmlns:p="http://schemas.microsoft.com/office/2006/metadata/properties" xmlns:ns2="75b74486-4fc0-4fcf-8dea-8ddef45d8fad" targetNamespace="http://schemas.microsoft.com/office/2006/metadata/properties" ma:root="true" ma:fieldsID="2a7c7d3fe9dc79fc0ad2530e7399db56" ns2:_="">
    <xsd:import namespace="75b74486-4fc0-4fcf-8dea-8ddef45d8fad"/>
    <xsd:element name="properties">
      <xsd:complexType>
        <xsd:sequence>
          <xsd:element name="documentManagement">
            <xsd:complexType>
              <xsd:all>
                <xsd:element ref="ns2:TSMoveSe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b74486-4fc0-4fcf-8dea-8ddef45d8fad" elementFormDefault="qualified">
    <xsd:import namespace="http://schemas.microsoft.com/office/2006/documentManagement/types"/>
    <xsd:import namespace="http://schemas.microsoft.com/office/infopath/2007/PartnerControls"/>
    <xsd:element name="TSMoveSetID" ma:index="8" nillable="true" ma:displayName="TSMoveSetID" ma:description="This field contains document metadata from TeamShare" ma:internalName="TSMoveSetID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932F6C-16F5-4866-A280-0D44420CC134}">
  <ds:schemaRefs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75b74486-4fc0-4fcf-8dea-8ddef45d8fad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E73FC49-2011-46DF-8D65-EC57B00306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b74486-4fc0-4fcf-8dea-8ddef45d8f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5084DE-185F-43C2-AC0D-A73EA16C7A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6</vt:i4>
      </vt:variant>
    </vt:vector>
  </HeadingPairs>
  <TitlesOfParts>
    <vt:vector size="9" baseType="lpstr">
      <vt:lpstr>Vejledning</vt:lpstr>
      <vt:lpstr>TCO-model, flextrafik</vt:lpstr>
      <vt:lpstr>LISTE</vt:lpstr>
      <vt:lpstr>AmpMat1</vt:lpstr>
      <vt:lpstr>AmpMat2</vt:lpstr>
      <vt:lpstr>kW</vt:lpstr>
      <vt:lpstr>Lader</vt:lpstr>
      <vt:lpstr>LadMat1</vt:lpstr>
      <vt:lpstr>LadMat2</vt:lpstr>
    </vt:vector>
  </TitlesOfParts>
  <Company>Trafikselskabet Movia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Hug</dc:creator>
  <cp:lastModifiedBy>Victor Hug</cp:lastModifiedBy>
  <dcterms:created xsi:type="dcterms:W3CDTF">2020-03-23T09:40:52Z</dcterms:created>
  <dcterms:modified xsi:type="dcterms:W3CDTF">2025-06-23T12:17:44Z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0x0101006A0C5A0B901E2540A766CF79EE8D89C0</vt:lpwstr>
  </property>
</Properties>
</file>